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6000" windowHeight="5760" tabRatio="869"/>
  </bookViews>
  <sheets>
    <sheet name="Rekapitulace " sheetId="70" r:id="rId1"/>
    <sheet name="1000" sheetId="23" r:id="rId2"/>
    <sheet name="1001" sheetId="22" r:id="rId3"/>
    <sheet name="1010" sheetId="20" r:id="rId4"/>
    <sheet name="1012" sheetId="18" r:id="rId5"/>
    <sheet name="1013" sheetId="17" r:id="rId6"/>
    <sheet name="1014" sheetId="16" r:id="rId7"/>
    <sheet name="1015" sheetId="15" r:id="rId8"/>
    <sheet name="1032" sheetId="26" r:id="rId9"/>
    <sheet name="1033" sheetId="27" r:id="rId10"/>
    <sheet name="1034" sheetId="28" r:id="rId11"/>
    <sheet name="1100" sheetId="29" r:id="rId12"/>
    <sheet name="1101" sheetId="30" r:id="rId13"/>
    <sheet name="1102" sheetId="31" r:id="rId14"/>
    <sheet name="1103" sheetId="32" r:id="rId15"/>
    <sheet name="1104" sheetId="33" r:id="rId16"/>
    <sheet name="1105" sheetId="34" r:id="rId17"/>
    <sheet name="1120" sheetId="35" r:id="rId18"/>
    <sheet name="1121" sheetId="36" r:id="rId19"/>
    <sheet name="1122" sheetId="37" r:id="rId20"/>
    <sheet name="1123" sheetId="38" r:id="rId21"/>
    <sheet name="1124" sheetId="39" r:id="rId22"/>
    <sheet name="1150" sheetId="40" r:id="rId23"/>
    <sheet name="1160" sheetId="68" r:id="rId24"/>
    <sheet name="1200" sheetId="43" r:id="rId25"/>
    <sheet name="1201" sheetId="44" r:id="rId26"/>
    <sheet name="1202" sheetId="45" r:id="rId27"/>
    <sheet name="1204" sheetId="47" r:id="rId28"/>
    <sheet name="1205" sheetId="48" r:id="rId29"/>
    <sheet name="1206" sheetId="49" r:id="rId30"/>
    <sheet name="1207" sheetId="50" r:id="rId31"/>
    <sheet name="1208" sheetId="53" r:id="rId32"/>
    <sheet name="1300" sheetId="54" r:id="rId33"/>
    <sheet name="1301" sheetId="55" r:id="rId34"/>
    <sheet name="1302" sheetId="56" r:id="rId35"/>
    <sheet name="1303" sheetId="57" r:id="rId36"/>
    <sheet name="1304" sheetId="58" r:id="rId37"/>
    <sheet name="1316" sheetId="65" r:id="rId38"/>
    <sheet name="1350" sheetId="59" r:id="rId39"/>
    <sheet name="1351" sheetId="60" r:id="rId40"/>
    <sheet name="1352" sheetId="61" r:id="rId41"/>
    <sheet name="1400" sheetId="62" r:id="rId42"/>
    <sheet name="1420" sheetId="71" r:id="rId43"/>
    <sheet name="1450" sheetId="63" r:id="rId44"/>
    <sheet name="List5" sheetId="76" state="hidden" r:id="rId45"/>
  </sheets>
  <definedNames>
    <definedName name="_xlnm.Print_Titles" localSheetId="0">'Rekapitulace '!$5:$8</definedName>
    <definedName name="_xlnm.Print_Area" localSheetId="3">'1010'!$A$1:$I$56</definedName>
    <definedName name="_xlnm.Print_Area" localSheetId="4">'1012'!$A$1:$I$56</definedName>
    <definedName name="_xlnm.Print_Area" localSheetId="6">'1014'!$A$1:$I$52</definedName>
    <definedName name="_xlnm.Print_Area" localSheetId="11">'1100'!$A$1:$I$57</definedName>
    <definedName name="_xlnm.Print_Area" localSheetId="12">'1101'!$A$1:$I$56</definedName>
    <definedName name="_xlnm.Print_Area" localSheetId="14">'1103'!$A$1:$I$55</definedName>
    <definedName name="_xlnm.Print_Area" localSheetId="15">'1104'!$A$1:$I$57</definedName>
    <definedName name="_xlnm.Print_Area" localSheetId="18">'1121'!$A$1:$I$56</definedName>
    <definedName name="_xlnm.Print_Area" localSheetId="19">'1122'!$A$1:$I$56</definedName>
    <definedName name="_xlnm.Print_Area" localSheetId="22">'1150'!$A$1:$I$56</definedName>
    <definedName name="_xlnm.Print_Area" localSheetId="26">'1202'!$A$1:$I$55</definedName>
    <definedName name="_xlnm.Print_Area" localSheetId="27">'1204'!$A$1:$I$51</definedName>
    <definedName name="_xlnm.Print_Area" localSheetId="28">'1205'!$A$1:$I$52</definedName>
    <definedName name="_xlnm.Print_Area" localSheetId="29">'1206'!$A$1:$I$57</definedName>
    <definedName name="_xlnm.Print_Area" localSheetId="30">'1207'!$A$1:$I$56</definedName>
    <definedName name="_xlnm.Print_Area" localSheetId="32">'1300'!$A$1:$I$56</definedName>
    <definedName name="_xlnm.Print_Area" localSheetId="38">'1350'!$A$1:$I$56</definedName>
    <definedName name="_xlnm.Print_Area" localSheetId="40">'1352'!$A$1:$I$54</definedName>
    <definedName name="_xlnm.Print_Area" localSheetId="41">'1400'!$A$1:$I$56</definedName>
    <definedName name="_xlnm.Print_Area" localSheetId="42">'1420'!$A$1:$I$53</definedName>
    <definedName name="_xlnm.Print_Area" localSheetId="43">'1450'!$A$1:$I$56</definedName>
    <definedName name="_xlnm.Print_Area" localSheetId="0">'Rekapitulace '!$A$1:$M$121</definedName>
  </definedNames>
  <calcPr calcId="145621"/>
</workbook>
</file>

<file path=xl/calcChain.xml><?xml version="1.0" encoding="utf-8"?>
<calcChain xmlns="http://schemas.openxmlformats.org/spreadsheetml/2006/main">
  <c r="H49" i="60" l="1"/>
  <c r="G27" i="65" l="1"/>
  <c r="L81" i="70"/>
  <c r="I52" i="76"/>
  <c r="G52" i="76"/>
  <c r="F52" i="76"/>
  <c r="I51" i="76"/>
  <c r="H51" i="76"/>
  <c r="G51" i="76"/>
  <c r="F51" i="76"/>
  <c r="I50" i="76"/>
  <c r="H50" i="76"/>
  <c r="G50" i="76"/>
  <c r="F50" i="76"/>
  <c r="I49" i="76"/>
  <c r="G49" i="76"/>
  <c r="F49" i="76"/>
  <c r="I48" i="76"/>
  <c r="H48" i="76"/>
  <c r="G48" i="76"/>
  <c r="F48" i="76"/>
  <c r="E51" i="76"/>
  <c r="E50" i="76"/>
  <c r="E49" i="76"/>
  <c r="E48" i="76"/>
  <c r="G40" i="76"/>
  <c r="F40" i="76"/>
  <c r="G39" i="76"/>
  <c r="F39" i="76"/>
  <c r="G38" i="76"/>
  <c r="F38" i="76"/>
  <c r="G37" i="76"/>
  <c r="F37" i="76"/>
  <c r="G36" i="76"/>
  <c r="F36" i="76"/>
  <c r="G30" i="76"/>
  <c r="G29" i="76"/>
  <c r="G28" i="76"/>
  <c r="G27" i="76"/>
  <c r="I23" i="76"/>
  <c r="H23" i="76"/>
  <c r="G23" i="76"/>
  <c r="I21" i="76"/>
  <c r="H21" i="76"/>
  <c r="G21" i="76"/>
  <c r="I17" i="76"/>
  <c r="H17" i="76"/>
  <c r="G17" i="76"/>
  <c r="F17" i="76"/>
  <c r="E17" i="76"/>
  <c r="I15" i="76"/>
  <c r="H15" i="76"/>
  <c r="G15" i="76"/>
  <c r="F15" i="76"/>
  <c r="E15" i="76"/>
  <c r="I39" i="76" l="1"/>
  <c r="I37" i="76"/>
  <c r="I96" i="70" l="1"/>
  <c r="I95" i="70" l="1"/>
  <c r="K68" i="70" l="1"/>
  <c r="J68" i="70"/>
  <c r="F51" i="30" l="1"/>
  <c r="I50" i="62" l="1"/>
  <c r="F50" i="62"/>
  <c r="F49" i="61"/>
  <c r="G50" i="60"/>
  <c r="I50" i="59"/>
  <c r="F50" i="59"/>
  <c r="F50" i="53" l="1"/>
  <c r="F50" i="48" l="1"/>
  <c r="G49" i="47"/>
  <c r="F49" i="47"/>
  <c r="F50" i="45"/>
  <c r="I51" i="44"/>
  <c r="F51" i="44"/>
  <c r="I49" i="68"/>
  <c r="G49" i="68"/>
  <c r="F49" i="68"/>
  <c r="G49" i="40"/>
  <c r="F49" i="40"/>
  <c r="F50" i="37"/>
  <c r="F48" i="37"/>
  <c r="G49" i="36"/>
  <c r="F49" i="36"/>
  <c r="I51" i="35" l="1"/>
  <c r="G50" i="34"/>
  <c r="F50" i="34"/>
  <c r="G50" i="33" l="1"/>
  <c r="F50" i="33"/>
  <c r="I50" i="31" l="1"/>
  <c r="F50" i="31"/>
  <c r="G50" i="29"/>
  <c r="F50" i="29"/>
  <c r="F50" i="28" l="1"/>
  <c r="F50" i="27"/>
  <c r="F50" i="15"/>
  <c r="G51" i="26"/>
  <c r="F51" i="26"/>
  <c r="G50" i="16"/>
  <c r="F50" i="16"/>
  <c r="F50" i="17"/>
  <c r="G49" i="18"/>
  <c r="F49" i="18"/>
  <c r="F51" i="20"/>
  <c r="F50" i="22" l="1"/>
  <c r="I49" i="23" l="1"/>
  <c r="H49" i="40" l="1"/>
  <c r="H50" i="40"/>
  <c r="H48" i="40"/>
  <c r="H47" i="40"/>
  <c r="K91" i="70" l="1"/>
  <c r="K89" i="70"/>
  <c r="M68" i="70"/>
  <c r="L47" i="70"/>
  <c r="L35" i="70"/>
  <c r="J33" i="70" l="1"/>
  <c r="H50" i="63" l="1"/>
  <c r="H51" i="63"/>
  <c r="H49" i="63"/>
  <c r="H48" i="63"/>
  <c r="H50" i="71"/>
  <c r="H51" i="71"/>
  <c r="H49" i="71"/>
  <c r="H48" i="71"/>
  <c r="H50" i="62"/>
  <c r="H51" i="62"/>
  <c r="H49" i="62"/>
  <c r="H48" i="62"/>
  <c r="H49" i="61"/>
  <c r="H50" i="61"/>
  <c r="H48" i="61"/>
  <c r="H47" i="61"/>
  <c r="H50" i="60"/>
  <c r="H51" i="60"/>
  <c r="H49" i="76"/>
  <c r="H48" i="60"/>
  <c r="H50" i="59"/>
  <c r="H51" i="59"/>
  <c r="H49" i="59"/>
  <c r="H48" i="59"/>
  <c r="I38" i="59"/>
  <c r="H51" i="65" l="1"/>
  <c r="H52" i="65"/>
  <c r="H50" i="65"/>
  <c r="H49" i="65"/>
  <c r="H50" i="58"/>
  <c r="H51" i="58"/>
  <c r="H49" i="58"/>
  <c r="H48" i="58"/>
  <c r="H50" i="57"/>
  <c r="H51" i="57"/>
  <c r="I51" i="57" s="1"/>
  <c r="H49" i="57"/>
  <c r="H48" i="57"/>
  <c r="H50" i="56"/>
  <c r="H51" i="56"/>
  <c r="H49" i="56"/>
  <c r="H48" i="56"/>
  <c r="H50" i="55"/>
  <c r="H51" i="55"/>
  <c r="H49" i="55"/>
  <c r="H48" i="55"/>
  <c r="H50" i="54"/>
  <c r="H51" i="54"/>
  <c r="H49" i="54"/>
  <c r="H48" i="54"/>
  <c r="H50" i="53"/>
  <c r="H51" i="53"/>
  <c r="H49" i="53"/>
  <c r="H48" i="53"/>
  <c r="H50" i="50"/>
  <c r="H51" i="50"/>
  <c r="H49" i="50"/>
  <c r="H48" i="50"/>
  <c r="H50" i="49"/>
  <c r="H51" i="49"/>
  <c r="H49" i="49"/>
  <c r="H48" i="49"/>
  <c r="H50" i="48" l="1"/>
  <c r="H51" i="48"/>
  <c r="H49" i="48"/>
  <c r="H48" i="48"/>
  <c r="H49" i="47"/>
  <c r="H50" i="47"/>
  <c r="H48" i="47"/>
  <c r="H47" i="47"/>
  <c r="H51" i="45"/>
  <c r="H50" i="45"/>
  <c r="H49" i="45"/>
  <c r="H48" i="45"/>
  <c r="H51" i="44"/>
  <c r="H52" i="44"/>
  <c r="H50" i="44"/>
  <c r="H49" i="44"/>
  <c r="H50" i="43"/>
  <c r="H51" i="43"/>
  <c r="H49" i="43"/>
  <c r="H48" i="43"/>
  <c r="H49" i="68" l="1"/>
  <c r="H50" i="68"/>
  <c r="H48" i="68"/>
  <c r="H47" i="68"/>
  <c r="H49" i="39" l="1"/>
  <c r="H50" i="39"/>
  <c r="H48" i="39"/>
  <c r="H47" i="39"/>
  <c r="I35" i="39"/>
  <c r="H49" i="38"/>
  <c r="H50" i="38"/>
  <c r="H48" i="38"/>
  <c r="H47" i="38"/>
  <c r="H50" i="37"/>
  <c r="H51" i="37"/>
  <c r="H49" i="37"/>
  <c r="H48" i="37"/>
  <c r="H49" i="36"/>
  <c r="H50" i="36"/>
  <c r="H48" i="36"/>
  <c r="H47" i="36"/>
  <c r="H51" i="35"/>
  <c r="H52" i="35"/>
  <c r="H50" i="35"/>
  <c r="H49" i="35"/>
  <c r="H50" i="34"/>
  <c r="H51" i="34"/>
  <c r="H49" i="34"/>
  <c r="H48" i="34"/>
  <c r="H50" i="33"/>
  <c r="H51" i="33"/>
  <c r="H49" i="33"/>
  <c r="H48" i="33"/>
  <c r="H50" i="32"/>
  <c r="H51" i="32"/>
  <c r="H49" i="32"/>
  <c r="H48" i="32"/>
  <c r="E52" i="31"/>
  <c r="H50" i="31"/>
  <c r="H51" i="31"/>
  <c r="H49" i="31"/>
  <c r="H48" i="31"/>
  <c r="H51" i="30" l="1"/>
  <c r="I51" i="30" s="1"/>
  <c r="H52" i="30"/>
  <c r="H50" i="30"/>
  <c r="H49" i="30"/>
  <c r="H50" i="29"/>
  <c r="H51" i="29"/>
  <c r="H49" i="29"/>
  <c r="H48" i="29"/>
  <c r="H50" i="28"/>
  <c r="H51" i="28"/>
  <c r="H49" i="28"/>
  <c r="H48" i="28"/>
  <c r="H50" i="27"/>
  <c r="H51" i="27"/>
  <c r="H49" i="27"/>
  <c r="H48" i="27"/>
  <c r="H51" i="26" l="1"/>
  <c r="I51" i="26" s="1"/>
  <c r="H52" i="26"/>
  <c r="H50" i="26"/>
  <c r="H49" i="26"/>
  <c r="H50" i="15"/>
  <c r="H51" i="15"/>
  <c r="H49" i="15"/>
  <c r="H48" i="15"/>
  <c r="H50" i="16"/>
  <c r="H51" i="16"/>
  <c r="H49" i="16"/>
  <c r="H48" i="16"/>
  <c r="H50" i="17" l="1"/>
  <c r="H51" i="17"/>
  <c r="H49" i="17"/>
  <c r="H48" i="17"/>
  <c r="H49" i="18"/>
  <c r="H50" i="18"/>
  <c r="H48" i="18"/>
  <c r="H47" i="18"/>
  <c r="H51" i="20"/>
  <c r="H52" i="20"/>
  <c r="H50" i="20"/>
  <c r="H49" i="20"/>
  <c r="H50" i="22" l="1"/>
  <c r="I50" i="22" s="1"/>
  <c r="H51" i="22"/>
  <c r="H49" i="22"/>
  <c r="H48" i="22"/>
  <c r="H49" i="23" l="1"/>
  <c r="H50" i="23"/>
  <c r="H48" i="23"/>
  <c r="H47" i="23"/>
  <c r="L91" i="70" l="1"/>
  <c r="L89" i="70"/>
  <c r="L87" i="70"/>
  <c r="J91" i="70"/>
  <c r="H52" i="71"/>
  <c r="G52" i="71"/>
  <c r="F52" i="71"/>
  <c r="E52" i="71"/>
  <c r="I51" i="71"/>
  <c r="I48" i="71"/>
  <c r="I52" i="71" s="1"/>
  <c r="I39" i="71"/>
  <c r="I37" i="71"/>
  <c r="G27" i="71"/>
  <c r="I23" i="71"/>
  <c r="H23" i="71"/>
  <c r="G21" i="71"/>
  <c r="G91" i="70" s="1"/>
  <c r="G17" i="71"/>
  <c r="F91" i="70" s="1"/>
  <c r="G15" i="71"/>
  <c r="E91" i="70" s="1"/>
  <c r="I48" i="62"/>
  <c r="I51" i="60"/>
  <c r="I49" i="38"/>
  <c r="I50" i="33"/>
  <c r="I51" i="33"/>
  <c r="I51" i="20"/>
  <c r="M91" i="70" l="1"/>
  <c r="H91" i="70"/>
  <c r="G23" i="71"/>
  <c r="G27" i="23"/>
  <c r="P21" i="70"/>
  <c r="P20" i="70"/>
  <c r="P14" i="70"/>
  <c r="P9" i="70"/>
  <c r="G47" i="70"/>
  <c r="J25" i="70"/>
  <c r="K25" i="70"/>
  <c r="L25" i="70"/>
  <c r="I50" i="61"/>
  <c r="I36" i="68"/>
  <c r="G21" i="38"/>
  <c r="I51" i="22"/>
  <c r="I48" i="22"/>
  <c r="I47" i="23"/>
  <c r="I51" i="32"/>
  <c r="I50" i="15"/>
  <c r="I52" i="20"/>
  <c r="I50" i="20"/>
  <c r="I49" i="20"/>
  <c r="L15" i="70"/>
  <c r="L49" i="70"/>
  <c r="L95" i="70" s="1"/>
  <c r="L9" i="70"/>
  <c r="L31" i="70"/>
  <c r="L33" i="70"/>
  <c r="L65" i="70"/>
  <c r="L83" i="70"/>
  <c r="L71" i="70"/>
  <c r="L11" i="70"/>
  <c r="L17" i="70"/>
  <c r="L19" i="70"/>
  <c r="L21" i="70"/>
  <c r="L23" i="70"/>
  <c r="L27" i="70"/>
  <c r="L29" i="70"/>
  <c r="L39" i="70"/>
  <c r="L43" i="70"/>
  <c r="L45" i="70"/>
  <c r="L51" i="70"/>
  <c r="L53" i="70"/>
  <c r="L55" i="70"/>
  <c r="L59" i="70"/>
  <c r="L61" i="70"/>
  <c r="L63" i="70"/>
  <c r="L69" i="70"/>
  <c r="L73" i="70"/>
  <c r="L75" i="70"/>
  <c r="L77" i="70"/>
  <c r="L79" i="70"/>
  <c r="L93" i="70"/>
  <c r="J31" i="70"/>
  <c r="K31" i="70"/>
  <c r="G17" i="35"/>
  <c r="F41" i="70" s="1"/>
  <c r="G15" i="35"/>
  <c r="E41" i="70" s="1"/>
  <c r="G17" i="27"/>
  <c r="F25" i="70" s="1"/>
  <c r="G15" i="27"/>
  <c r="E25" i="70" s="1"/>
  <c r="G17" i="32"/>
  <c r="F35" i="70" s="1"/>
  <c r="G15" i="32"/>
  <c r="E35" i="70" s="1"/>
  <c r="G17" i="63"/>
  <c r="F93" i="70" s="1"/>
  <c r="G15" i="63"/>
  <c r="E93" i="70" s="1"/>
  <c r="G17" i="62"/>
  <c r="F89" i="70" s="1"/>
  <c r="G15" i="62"/>
  <c r="E89" i="70" s="1"/>
  <c r="G17" i="61"/>
  <c r="F87" i="70" s="1"/>
  <c r="G15" i="61"/>
  <c r="E87" i="70" s="1"/>
  <c r="G17" i="60"/>
  <c r="F85" i="70" s="1"/>
  <c r="G15" i="60"/>
  <c r="E85" i="70" s="1"/>
  <c r="G17" i="59"/>
  <c r="F83" i="70" s="1"/>
  <c r="G15" i="59"/>
  <c r="E83" i="70" s="1"/>
  <c r="G17" i="65"/>
  <c r="F81" i="70" s="1"/>
  <c r="G15" i="65"/>
  <c r="E81" i="70" s="1"/>
  <c r="G17" i="58"/>
  <c r="F79" i="70" s="1"/>
  <c r="G15" i="58"/>
  <c r="E79" i="70" s="1"/>
  <c r="G17" i="57"/>
  <c r="F77" i="70" s="1"/>
  <c r="G15" i="57"/>
  <c r="E77" i="70" s="1"/>
  <c r="G17" i="56"/>
  <c r="F75" i="70" s="1"/>
  <c r="G15" i="56"/>
  <c r="E75" i="70" s="1"/>
  <c r="G17" i="55"/>
  <c r="F73" i="70" s="1"/>
  <c r="G15" i="55"/>
  <c r="E73" i="70" s="1"/>
  <c r="G17" i="54"/>
  <c r="F71" i="70" s="1"/>
  <c r="G15" i="54"/>
  <c r="E71" i="70" s="1"/>
  <c r="G17" i="53"/>
  <c r="F69" i="70" s="1"/>
  <c r="G15" i="53"/>
  <c r="E69" i="70" s="1"/>
  <c r="G17" i="50"/>
  <c r="F67" i="70" s="1"/>
  <c r="G15" i="50"/>
  <c r="E67" i="70" s="1"/>
  <c r="G17" i="49"/>
  <c r="F65" i="70" s="1"/>
  <c r="G15" i="49"/>
  <c r="E65" i="70" s="1"/>
  <c r="G17" i="48"/>
  <c r="F63" i="70" s="1"/>
  <c r="G15" i="48"/>
  <c r="E63" i="70" s="1"/>
  <c r="G21" i="48"/>
  <c r="G63" i="70" s="1"/>
  <c r="G17" i="47"/>
  <c r="F61" i="70" s="1"/>
  <c r="G15" i="47"/>
  <c r="E61" i="70" s="1"/>
  <c r="G21" i="47"/>
  <c r="G61" i="70" s="1"/>
  <c r="G17" i="45"/>
  <c r="F59" i="70" s="1"/>
  <c r="G15" i="45"/>
  <c r="E59" i="70" s="1"/>
  <c r="G17" i="44"/>
  <c r="F57" i="70" s="1"/>
  <c r="G15" i="44"/>
  <c r="E57" i="70" s="1"/>
  <c r="G17" i="43"/>
  <c r="F55" i="70" s="1"/>
  <c r="G15" i="43"/>
  <c r="E55" i="70" s="1"/>
  <c r="G21" i="43"/>
  <c r="G55" i="70" s="1"/>
  <c r="G17" i="68"/>
  <c r="F53" i="70" s="1"/>
  <c r="G15" i="68"/>
  <c r="E53" i="70" s="1"/>
  <c r="G17" i="40"/>
  <c r="F51" i="70" s="1"/>
  <c r="G15" i="40"/>
  <c r="E51" i="70" s="1"/>
  <c r="G17" i="39"/>
  <c r="G15" i="39"/>
  <c r="G17" i="38"/>
  <c r="F47" i="70" s="1"/>
  <c r="G15" i="38"/>
  <c r="E47" i="70" s="1"/>
  <c r="G17" i="37"/>
  <c r="F45" i="70" s="1"/>
  <c r="G15" i="37"/>
  <c r="E45" i="70" s="1"/>
  <c r="G17" i="36"/>
  <c r="F43" i="70" s="1"/>
  <c r="G15" i="36"/>
  <c r="E43" i="70" s="1"/>
  <c r="G17" i="34"/>
  <c r="F39" i="70" s="1"/>
  <c r="G15" i="34"/>
  <c r="E39" i="70" s="1"/>
  <c r="G17" i="33"/>
  <c r="F37" i="70" s="1"/>
  <c r="G15" i="33"/>
  <c r="E37" i="70" s="1"/>
  <c r="G17" i="31"/>
  <c r="F33" i="70" s="1"/>
  <c r="G15" i="31"/>
  <c r="E33" i="70" s="1"/>
  <c r="G17" i="30"/>
  <c r="F31" i="70" s="1"/>
  <c r="G15" i="30"/>
  <c r="E31" i="70" s="1"/>
  <c r="G17" i="29"/>
  <c r="F29" i="70" s="1"/>
  <c r="G15" i="29"/>
  <c r="E29" i="70" s="1"/>
  <c r="G17" i="28"/>
  <c r="F27" i="70" s="1"/>
  <c r="G15" i="28"/>
  <c r="E27" i="70" s="1"/>
  <c r="G17" i="26"/>
  <c r="F23" i="70" s="1"/>
  <c r="G15" i="26"/>
  <c r="E23" i="70" s="1"/>
  <c r="G17" i="15"/>
  <c r="F21" i="70" s="1"/>
  <c r="G15" i="15"/>
  <c r="E21" i="70" s="1"/>
  <c r="G17" i="16"/>
  <c r="F19" i="70" s="1"/>
  <c r="G15" i="16"/>
  <c r="E19" i="70" s="1"/>
  <c r="G17" i="17"/>
  <c r="F17" i="70" s="1"/>
  <c r="G15" i="17"/>
  <c r="E17" i="70" s="1"/>
  <c r="G17" i="18"/>
  <c r="F15" i="70" s="1"/>
  <c r="G15" i="18"/>
  <c r="E15" i="70" s="1"/>
  <c r="G17" i="20"/>
  <c r="F13" i="70" s="1"/>
  <c r="G15" i="20"/>
  <c r="E13" i="70" s="1"/>
  <c r="G17" i="22"/>
  <c r="F11" i="70" s="1"/>
  <c r="G15" i="22"/>
  <c r="E11" i="70" s="1"/>
  <c r="G15" i="23"/>
  <c r="E9" i="70" s="1"/>
  <c r="G17" i="23"/>
  <c r="F9" i="70" s="1"/>
  <c r="K87" i="70"/>
  <c r="J87" i="70"/>
  <c r="M87" i="70" s="1"/>
  <c r="K88" i="70" s="1"/>
  <c r="J81" i="70"/>
  <c r="K81" i="70"/>
  <c r="J77" i="70"/>
  <c r="K77" i="70"/>
  <c r="K43" i="70"/>
  <c r="J43" i="70"/>
  <c r="M43" i="70" s="1"/>
  <c r="K45" i="70"/>
  <c r="J45" i="70"/>
  <c r="M45" i="70" s="1"/>
  <c r="K63" i="70"/>
  <c r="J63" i="70"/>
  <c r="M63" i="70" s="1"/>
  <c r="K73" i="70"/>
  <c r="J73" i="70"/>
  <c r="M73" i="70"/>
  <c r="K93" i="70"/>
  <c r="J93" i="70"/>
  <c r="M93" i="70" s="1"/>
  <c r="K49" i="70"/>
  <c r="K95" i="70" s="1"/>
  <c r="J49" i="70"/>
  <c r="J95" i="70" s="1"/>
  <c r="K55" i="70"/>
  <c r="J55" i="70"/>
  <c r="M55" i="70" s="1"/>
  <c r="J15" i="70"/>
  <c r="K15" i="70"/>
  <c r="M15" i="70" s="1"/>
  <c r="J9" i="70"/>
  <c r="K9" i="70"/>
  <c r="J37" i="70"/>
  <c r="K37" i="70"/>
  <c r="M37" i="70"/>
  <c r="J11" i="70"/>
  <c r="K11" i="70"/>
  <c r="M11" i="70" s="1"/>
  <c r="J13" i="70"/>
  <c r="K13" i="70"/>
  <c r="M13" i="70" s="1"/>
  <c r="J17" i="70"/>
  <c r="K17" i="70"/>
  <c r="M17" i="70" s="1"/>
  <c r="J19" i="70"/>
  <c r="K19" i="70"/>
  <c r="M19" i="70"/>
  <c r="J21" i="70"/>
  <c r="K21" i="70"/>
  <c r="M21" i="70" s="1"/>
  <c r="J23" i="70"/>
  <c r="K23" i="70"/>
  <c r="M23" i="70" s="1"/>
  <c r="J27" i="70"/>
  <c r="K27" i="70"/>
  <c r="J29" i="70"/>
  <c r="K29" i="70"/>
  <c r="M29" i="70"/>
  <c r="K33" i="70"/>
  <c r="M33" i="70" s="1"/>
  <c r="K39" i="70"/>
  <c r="J39" i="70"/>
  <c r="M39" i="70"/>
  <c r="J41" i="70"/>
  <c r="K41" i="70"/>
  <c r="J47" i="70"/>
  <c r="K47" i="70"/>
  <c r="M47" i="70"/>
  <c r="L48" i="70" s="1"/>
  <c r="J51" i="70"/>
  <c r="K51" i="70"/>
  <c r="M51" i="70" s="1"/>
  <c r="J52" i="70" s="1"/>
  <c r="J53" i="70"/>
  <c r="K53" i="70"/>
  <c r="M53" i="70" s="1"/>
  <c r="J57" i="70"/>
  <c r="K57" i="70"/>
  <c r="M57" i="70"/>
  <c r="J59" i="70"/>
  <c r="K59" i="70"/>
  <c r="M59" i="70" s="1"/>
  <c r="J61" i="70"/>
  <c r="K61" i="70"/>
  <c r="M61" i="70" s="1"/>
  <c r="J67" i="70"/>
  <c r="K67" i="70"/>
  <c r="J69" i="70"/>
  <c r="K69" i="70"/>
  <c r="M69" i="70"/>
  <c r="J71" i="70"/>
  <c r="K71" i="70"/>
  <c r="M71" i="70" s="1"/>
  <c r="J75" i="70"/>
  <c r="K75" i="70"/>
  <c r="M75" i="70" s="1"/>
  <c r="J79" i="70"/>
  <c r="K79" i="70"/>
  <c r="J83" i="70"/>
  <c r="K83" i="70"/>
  <c r="M83" i="70"/>
  <c r="J85" i="70"/>
  <c r="K85" i="70"/>
  <c r="J89" i="70"/>
  <c r="M89" i="70" s="1"/>
  <c r="J90" i="70"/>
  <c r="J65" i="70"/>
  <c r="K65" i="70"/>
  <c r="M65" i="70" s="1"/>
  <c r="K35" i="70"/>
  <c r="J35" i="70"/>
  <c r="M35" i="70" s="1"/>
  <c r="L36" i="70" s="1"/>
  <c r="M36" i="70" s="1"/>
  <c r="I52" i="63"/>
  <c r="H52" i="63"/>
  <c r="F52" i="63"/>
  <c r="G52" i="63"/>
  <c r="E52" i="63"/>
  <c r="G21" i="63"/>
  <c r="G23" i="63"/>
  <c r="H23" i="63"/>
  <c r="I23" i="63"/>
  <c r="I39" i="63"/>
  <c r="I37" i="63"/>
  <c r="G27" i="63"/>
  <c r="I51" i="62"/>
  <c r="I52" i="62" s="1"/>
  <c r="H52" i="62"/>
  <c r="G52" i="62"/>
  <c r="F52" i="62"/>
  <c r="E52" i="62"/>
  <c r="H23" i="62"/>
  <c r="I23" i="62"/>
  <c r="I39" i="62"/>
  <c r="G27" i="62"/>
  <c r="I47" i="61"/>
  <c r="I49" i="61"/>
  <c r="H51" i="61"/>
  <c r="G51" i="61"/>
  <c r="F51" i="61"/>
  <c r="E51" i="61"/>
  <c r="I35" i="61"/>
  <c r="H23" i="61"/>
  <c r="I23" i="61"/>
  <c r="I38" i="61"/>
  <c r="I36" i="61"/>
  <c r="G27" i="61"/>
  <c r="I48" i="60"/>
  <c r="I50" i="60"/>
  <c r="I52" i="60"/>
  <c r="H52" i="60"/>
  <c r="H52" i="76" s="1"/>
  <c r="G52" i="60"/>
  <c r="F52" i="60"/>
  <c r="E52" i="60"/>
  <c r="E52" i="76" s="1"/>
  <c r="I36" i="60"/>
  <c r="G21" i="60"/>
  <c r="G23" i="60" s="1"/>
  <c r="H23" i="60"/>
  <c r="I23" i="60"/>
  <c r="I39" i="60"/>
  <c r="I37" i="60"/>
  <c r="G27" i="60"/>
  <c r="I48" i="59"/>
  <c r="H52" i="59"/>
  <c r="G52" i="59"/>
  <c r="F52" i="59"/>
  <c r="E52" i="59"/>
  <c r="I39" i="59"/>
  <c r="I36" i="59"/>
  <c r="I37" i="59"/>
  <c r="H23" i="59"/>
  <c r="I23" i="59"/>
  <c r="G27" i="59"/>
  <c r="I52" i="65"/>
  <c r="H53" i="65"/>
  <c r="G53" i="65"/>
  <c r="F53" i="65"/>
  <c r="E53" i="65"/>
  <c r="H23" i="65"/>
  <c r="I23" i="65"/>
  <c r="I48" i="58"/>
  <c r="I50" i="58"/>
  <c r="I51" i="58"/>
  <c r="G52" i="58"/>
  <c r="F52" i="58"/>
  <c r="E52" i="58"/>
  <c r="H23" i="58"/>
  <c r="I23" i="58"/>
  <c r="I37" i="58"/>
  <c r="I39" i="58"/>
  <c r="G27" i="58"/>
  <c r="I48" i="57"/>
  <c r="I50" i="57"/>
  <c r="H52" i="57"/>
  <c r="G52" i="57"/>
  <c r="F52" i="57"/>
  <c r="E52" i="57"/>
  <c r="H23" i="57"/>
  <c r="I23" i="57"/>
  <c r="I39" i="57"/>
  <c r="I37" i="57"/>
  <c r="G27" i="57"/>
  <c r="I50" i="56"/>
  <c r="I51" i="56"/>
  <c r="G52" i="56"/>
  <c r="F52" i="56"/>
  <c r="E52" i="56"/>
  <c r="I23" i="56"/>
  <c r="H23" i="56"/>
  <c r="G21" i="56"/>
  <c r="G23" i="56"/>
  <c r="I39" i="56"/>
  <c r="I37" i="56"/>
  <c r="G27" i="56"/>
  <c r="I48" i="55"/>
  <c r="I50" i="55"/>
  <c r="I51" i="55"/>
  <c r="G52" i="55"/>
  <c r="F52" i="55"/>
  <c r="E52" i="55"/>
  <c r="G27" i="55"/>
  <c r="H23" i="55"/>
  <c r="I23" i="55"/>
  <c r="I39" i="55"/>
  <c r="I37" i="55"/>
  <c r="I48" i="54"/>
  <c r="I50" i="54"/>
  <c r="I51" i="54"/>
  <c r="H52" i="54"/>
  <c r="G52" i="54"/>
  <c r="F52" i="54"/>
  <c r="E52" i="54"/>
  <c r="I39" i="54"/>
  <c r="I23" i="54"/>
  <c r="H23" i="54"/>
  <c r="I37" i="54"/>
  <c r="G27" i="54"/>
  <c r="I48" i="53"/>
  <c r="I50" i="53"/>
  <c r="I51" i="53"/>
  <c r="G52" i="53"/>
  <c r="F52" i="53"/>
  <c r="E52" i="53"/>
  <c r="H23" i="53"/>
  <c r="I23" i="53"/>
  <c r="I39" i="53"/>
  <c r="I36" i="53"/>
  <c r="I37" i="53"/>
  <c r="G27" i="53"/>
  <c r="I48" i="50"/>
  <c r="I50" i="50"/>
  <c r="I51" i="50"/>
  <c r="G52" i="50"/>
  <c r="F52" i="50"/>
  <c r="E52" i="50"/>
  <c r="I36" i="50"/>
  <c r="H23" i="50"/>
  <c r="I23" i="50"/>
  <c r="I37" i="50"/>
  <c r="I39" i="50"/>
  <c r="G27" i="50"/>
  <c r="I48" i="49"/>
  <c r="I50" i="49"/>
  <c r="I51" i="49"/>
  <c r="G52" i="49"/>
  <c r="F52" i="49"/>
  <c r="E52" i="49"/>
  <c r="I36" i="49"/>
  <c r="H23" i="49"/>
  <c r="I23" i="49"/>
  <c r="I39" i="49"/>
  <c r="I37" i="49"/>
  <c r="G27" i="49"/>
  <c r="I48" i="48"/>
  <c r="I50" i="48"/>
  <c r="I51" i="48"/>
  <c r="G52" i="48"/>
  <c r="F52" i="48"/>
  <c r="E52" i="48"/>
  <c r="I36" i="48"/>
  <c r="G23" i="48"/>
  <c r="I23" i="48"/>
  <c r="H23" i="48"/>
  <c r="I39" i="48"/>
  <c r="I37" i="48"/>
  <c r="G27" i="48"/>
  <c r="I47" i="47"/>
  <c r="I49" i="47"/>
  <c r="I50" i="47"/>
  <c r="G51" i="47"/>
  <c r="F51" i="47"/>
  <c r="E51" i="47"/>
  <c r="I36" i="47"/>
  <c r="G23" i="47"/>
  <c r="H23" i="47"/>
  <c r="I23" i="47"/>
  <c r="I37" i="47"/>
  <c r="I39" i="47"/>
  <c r="G27" i="47"/>
  <c r="I48" i="45"/>
  <c r="I50" i="45"/>
  <c r="I51" i="45"/>
  <c r="G52" i="45"/>
  <c r="F52" i="45"/>
  <c r="E52" i="45"/>
  <c r="H23" i="45"/>
  <c r="I23" i="45"/>
  <c r="I37" i="45"/>
  <c r="I39" i="45"/>
  <c r="G27" i="45"/>
  <c r="I49" i="44"/>
  <c r="I52" i="44"/>
  <c r="H53" i="44"/>
  <c r="G53" i="44"/>
  <c r="F53" i="44"/>
  <c r="E53" i="44"/>
  <c r="H23" i="44"/>
  <c r="I23" i="44"/>
  <c r="I39" i="44"/>
  <c r="I37" i="44"/>
  <c r="G27" i="44"/>
  <c r="I50" i="43"/>
  <c r="I51" i="43"/>
  <c r="G52" i="43"/>
  <c r="F52" i="43"/>
  <c r="E52" i="43"/>
  <c r="I36" i="43"/>
  <c r="G23" i="43"/>
  <c r="I23" i="43"/>
  <c r="H23" i="43"/>
  <c r="I39" i="43"/>
  <c r="I37" i="43"/>
  <c r="G27" i="43"/>
  <c r="K52" i="70"/>
  <c r="M52" i="70" s="1"/>
  <c r="I47" i="68"/>
  <c r="I50" i="68"/>
  <c r="H51" i="68"/>
  <c r="G51" i="68"/>
  <c r="F51" i="68"/>
  <c r="E51" i="68"/>
  <c r="H23" i="68"/>
  <c r="I23" i="68"/>
  <c r="I37" i="68"/>
  <c r="I39" i="68"/>
  <c r="G27" i="68"/>
  <c r="I49" i="40"/>
  <c r="H51" i="40"/>
  <c r="E51" i="40"/>
  <c r="G51" i="40"/>
  <c r="F51" i="40"/>
  <c r="H23" i="40"/>
  <c r="I23" i="40"/>
  <c r="I37" i="40"/>
  <c r="I39" i="40"/>
  <c r="G27" i="40"/>
  <c r="I47" i="39"/>
  <c r="I49" i="39"/>
  <c r="I50" i="39"/>
  <c r="G51" i="39"/>
  <c r="F51" i="39"/>
  <c r="E51" i="39"/>
  <c r="H23" i="39"/>
  <c r="I23" i="39"/>
  <c r="G27" i="39"/>
  <c r="M48" i="70"/>
  <c r="I50" i="38"/>
  <c r="I51" i="38" s="1"/>
  <c r="H51" i="38"/>
  <c r="G51" i="38"/>
  <c r="F51" i="38"/>
  <c r="E51" i="38"/>
  <c r="I36" i="38"/>
  <c r="G23" i="38"/>
  <c r="H23" i="38"/>
  <c r="I23" i="38"/>
  <c r="I39" i="38"/>
  <c r="I37" i="38"/>
  <c r="G27" i="38"/>
  <c r="I48" i="37"/>
  <c r="I50" i="37"/>
  <c r="I51" i="37"/>
  <c r="H52" i="37"/>
  <c r="G52" i="37"/>
  <c r="F52" i="37"/>
  <c r="E52" i="37"/>
  <c r="I23" i="37"/>
  <c r="H23" i="37"/>
  <c r="I39" i="37"/>
  <c r="I37" i="37"/>
  <c r="G27" i="37"/>
  <c r="I47" i="36"/>
  <c r="I49" i="36"/>
  <c r="G51" i="36"/>
  <c r="F51" i="36"/>
  <c r="E51" i="36"/>
  <c r="H23" i="36"/>
  <c r="I23" i="36"/>
  <c r="I39" i="36"/>
  <c r="I37" i="36"/>
  <c r="G27" i="36"/>
  <c r="I49" i="35"/>
  <c r="I53" i="35" s="1"/>
  <c r="H53" i="35"/>
  <c r="E53" i="35"/>
  <c r="G53" i="35"/>
  <c r="F53" i="35"/>
  <c r="H23" i="35"/>
  <c r="I23" i="35"/>
  <c r="I40" i="35"/>
  <c r="I38" i="35"/>
  <c r="G27" i="35"/>
  <c r="J34" i="70"/>
  <c r="K34" i="70"/>
  <c r="L34" i="70"/>
  <c r="I48" i="34"/>
  <c r="I50" i="34"/>
  <c r="I51" i="34"/>
  <c r="G52" i="34"/>
  <c r="F52" i="34"/>
  <c r="E52" i="34"/>
  <c r="H52" i="34"/>
  <c r="H23" i="34"/>
  <c r="I39" i="34"/>
  <c r="I37" i="34"/>
  <c r="G27" i="34"/>
  <c r="I48" i="33"/>
  <c r="G52" i="33"/>
  <c r="F52" i="33"/>
  <c r="E52" i="33"/>
  <c r="I39" i="33"/>
  <c r="I37" i="33"/>
  <c r="G27" i="33"/>
  <c r="I23" i="33"/>
  <c r="H23" i="33"/>
  <c r="G21" i="33"/>
  <c r="G23" i="33"/>
  <c r="G52" i="32"/>
  <c r="F52" i="32"/>
  <c r="E52" i="32"/>
  <c r="I48" i="32"/>
  <c r="I50" i="32"/>
  <c r="I36" i="32"/>
  <c r="G27" i="32"/>
  <c r="H23" i="32"/>
  <c r="I23" i="32"/>
  <c r="I39" i="32"/>
  <c r="I37" i="32"/>
  <c r="I52" i="31"/>
  <c r="H52" i="31"/>
  <c r="G52" i="31"/>
  <c r="F52" i="31"/>
  <c r="I36" i="31"/>
  <c r="I23" i="31"/>
  <c r="H23" i="31"/>
  <c r="G21" i="31"/>
  <c r="G33" i="70" s="1"/>
  <c r="G23" i="31"/>
  <c r="I39" i="31"/>
  <c r="I37" i="31"/>
  <c r="G27" i="31"/>
  <c r="I49" i="30"/>
  <c r="I52" i="30"/>
  <c r="G53" i="30"/>
  <c r="F53" i="30"/>
  <c r="E53" i="30"/>
  <c r="G27" i="30"/>
  <c r="I23" i="30"/>
  <c r="H23" i="30"/>
  <c r="I40" i="30"/>
  <c r="I38" i="30"/>
  <c r="G52" i="29"/>
  <c r="F52" i="29"/>
  <c r="E52" i="29"/>
  <c r="I48" i="29"/>
  <c r="I51" i="29"/>
  <c r="H52" i="29"/>
  <c r="I36" i="29"/>
  <c r="I23" i="29"/>
  <c r="H23" i="29"/>
  <c r="I39" i="29"/>
  <c r="I37" i="29"/>
  <c r="G27" i="29"/>
  <c r="I48" i="28"/>
  <c r="I51" i="28"/>
  <c r="G52" i="28"/>
  <c r="F52" i="28"/>
  <c r="E52" i="28"/>
  <c r="H52" i="28"/>
  <c r="I39" i="28"/>
  <c r="H23" i="28"/>
  <c r="I37" i="28"/>
  <c r="G27" i="28"/>
  <c r="G52" i="27"/>
  <c r="F52" i="27"/>
  <c r="E52" i="27"/>
  <c r="I48" i="27"/>
  <c r="I50" i="27"/>
  <c r="I51" i="27"/>
  <c r="G27" i="27"/>
  <c r="H23" i="27"/>
  <c r="I23" i="27"/>
  <c r="I37" i="27"/>
  <c r="G53" i="26"/>
  <c r="F53" i="26"/>
  <c r="E53" i="26"/>
  <c r="I49" i="26"/>
  <c r="I52" i="26"/>
  <c r="H53" i="26"/>
  <c r="H23" i="26"/>
  <c r="I23" i="26"/>
  <c r="I40" i="26"/>
  <c r="I38" i="26"/>
  <c r="G29" i="26"/>
  <c r="H52" i="15"/>
  <c r="F52" i="15"/>
  <c r="I48" i="15"/>
  <c r="I51" i="15"/>
  <c r="I52" i="15" s="1"/>
  <c r="G52" i="15"/>
  <c r="E52" i="15"/>
  <c r="I36" i="15"/>
  <c r="H23" i="15"/>
  <c r="I23" i="15"/>
  <c r="I37" i="15"/>
  <c r="I39" i="15"/>
  <c r="G27" i="15"/>
  <c r="G52" i="16"/>
  <c r="F52" i="16"/>
  <c r="E52" i="16"/>
  <c r="I48" i="16"/>
  <c r="I50" i="16"/>
  <c r="I51" i="16"/>
  <c r="H23" i="16"/>
  <c r="I23" i="16"/>
  <c r="I39" i="16"/>
  <c r="I37" i="16"/>
  <c r="G27" i="16"/>
  <c r="I48" i="17"/>
  <c r="I50" i="17"/>
  <c r="I51" i="17"/>
  <c r="G52" i="17"/>
  <c r="F52" i="17"/>
  <c r="E52" i="17"/>
  <c r="I23" i="17"/>
  <c r="H23" i="17"/>
  <c r="I37" i="17"/>
  <c r="G27" i="17"/>
  <c r="I47" i="18"/>
  <c r="I49" i="18"/>
  <c r="I50" i="18"/>
  <c r="G51" i="18"/>
  <c r="F51" i="18"/>
  <c r="E51" i="18"/>
  <c r="H51" i="18"/>
  <c r="I39" i="18"/>
  <c r="G21" i="18"/>
  <c r="G23" i="18" s="1"/>
  <c r="H23" i="18"/>
  <c r="I23" i="18"/>
  <c r="I37" i="18"/>
  <c r="G27" i="18"/>
  <c r="H53" i="20"/>
  <c r="G53" i="20"/>
  <c r="F53" i="20"/>
  <c r="E53" i="20"/>
  <c r="I53" i="20"/>
  <c r="I40" i="20"/>
  <c r="I23" i="20"/>
  <c r="H23" i="20"/>
  <c r="I38" i="20"/>
  <c r="G27" i="20"/>
  <c r="I52" i="22"/>
  <c r="H52" i="22"/>
  <c r="G52" i="22"/>
  <c r="E52" i="22"/>
  <c r="F52" i="22"/>
  <c r="I23" i="22"/>
  <c r="H23" i="22"/>
  <c r="I39" i="22"/>
  <c r="G27" i="22"/>
  <c r="G51" i="23"/>
  <c r="F51" i="23"/>
  <c r="E51" i="23"/>
  <c r="I50" i="23"/>
  <c r="I36" i="23"/>
  <c r="I23" i="23"/>
  <c r="H23" i="23"/>
  <c r="G21" i="23"/>
  <c r="G23" i="23"/>
  <c r="G21" i="32"/>
  <c r="I37" i="62"/>
  <c r="G21" i="59"/>
  <c r="I36" i="44"/>
  <c r="G21" i="39"/>
  <c r="I23" i="34"/>
  <c r="I39" i="27"/>
  <c r="I39" i="17"/>
  <c r="I37" i="22"/>
  <c r="J12" i="70"/>
  <c r="K12" i="70"/>
  <c r="M12" i="70" s="1"/>
  <c r="G21" i="44"/>
  <c r="G21" i="29"/>
  <c r="G29" i="70" s="1"/>
  <c r="K90" i="70"/>
  <c r="M90" i="70" s="1"/>
  <c r="M74" i="70"/>
  <c r="G21" i="62"/>
  <c r="G23" i="62" s="1"/>
  <c r="G21" i="61"/>
  <c r="G23" i="61" s="1"/>
  <c r="G21" i="65"/>
  <c r="G23" i="65" s="1"/>
  <c r="G21" i="58"/>
  <c r="G23" i="58" s="1"/>
  <c r="G21" i="57"/>
  <c r="G23" i="57" s="1"/>
  <c r="G21" i="55"/>
  <c r="G23" i="55" s="1"/>
  <c r="G21" i="54"/>
  <c r="G23" i="54" s="1"/>
  <c r="G21" i="53"/>
  <c r="G21" i="50"/>
  <c r="G23" i="50" s="1"/>
  <c r="G21" i="49"/>
  <c r="G23" i="49" s="1"/>
  <c r="G21" i="45"/>
  <c r="G23" i="45" s="1"/>
  <c r="G21" i="68"/>
  <c r="G23" i="68" s="1"/>
  <c r="G21" i="40"/>
  <c r="G23" i="40" s="1"/>
  <c r="G21" i="37"/>
  <c r="G23" i="37" s="1"/>
  <c r="G21" i="36"/>
  <c r="G21" i="35"/>
  <c r="G23" i="35" s="1"/>
  <c r="G21" i="34"/>
  <c r="G23" i="34" s="1"/>
  <c r="G21" i="30"/>
  <c r="G23" i="30" s="1"/>
  <c r="I23" i="28"/>
  <c r="G21" i="28"/>
  <c r="G23" i="28" s="1"/>
  <c r="G21" i="27"/>
  <c r="G21" i="26"/>
  <c r="G23" i="26" s="1"/>
  <c r="G21" i="15"/>
  <c r="G23" i="15" s="1"/>
  <c r="G21" i="16"/>
  <c r="G23" i="16" s="1"/>
  <c r="G21" i="17"/>
  <c r="G23" i="17" s="1"/>
  <c r="G21" i="20"/>
  <c r="G23" i="20" s="1"/>
  <c r="G21" i="22"/>
  <c r="G23" i="22" s="1"/>
  <c r="J18" i="70"/>
  <c r="K18" i="70"/>
  <c r="M18" i="70" s="1"/>
  <c r="J20" i="70"/>
  <c r="K20" i="70"/>
  <c r="M20" i="70" s="1"/>
  <c r="J22" i="70"/>
  <c r="K22" i="70"/>
  <c r="L22" i="70"/>
  <c r="J30" i="70"/>
  <c r="K30" i="70"/>
  <c r="L30" i="70"/>
  <c r="J40" i="70"/>
  <c r="K40" i="70"/>
  <c r="M40" i="70" s="1"/>
  <c r="J44" i="70"/>
  <c r="K44" i="70"/>
  <c r="L44" i="70"/>
  <c r="J56" i="70"/>
  <c r="K56" i="70"/>
  <c r="J60" i="70"/>
  <c r="K60" i="70"/>
  <c r="M60" i="70" s="1"/>
  <c r="J64" i="70"/>
  <c r="K64" i="70"/>
  <c r="M66" i="70"/>
  <c r="J70" i="70"/>
  <c r="K70" i="70"/>
  <c r="M70" i="70" s="1"/>
  <c r="J84" i="70"/>
  <c r="K84" i="70"/>
  <c r="M84" i="70" s="1"/>
  <c r="J94" i="70"/>
  <c r="K94" i="70"/>
  <c r="M94" i="70" s="1"/>
  <c r="E49" i="70" l="1"/>
  <c r="G49" i="70"/>
  <c r="E95" i="70"/>
  <c r="F95" i="70"/>
  <c r="F49" i="70"/>
  <c r="M22" i="70"/>
  <c r="M85" i="70"/>
  <c r="K86" i="70" s="1"/>
  <c r="J86" i="70"/>
  <c r="M86" i="70" s="1"/>
  <c r="M49" i="70"/>
  <c r="M81" i="70"/>
  <c r="H67" i="70"/>
  <c r="H81" i="70"/>
  <c r="H85" i="70"/>
  <c r="H41" i="70"/>
  <c r="M25" i="70"/>
  <c r="L26" i="70" s="1"/>
  <c r="J26" i="70"/>
  <c r="K62" i="70"/>
  <c r="J62" i="70"/>
  <c r="K46" i="70"/>
  <c r="J46" i="70"/>
  <c r="M46" i="70" s="1"/>
  <c r="J76" i="70"/>
  <c r="K76" i="70"/>
  <c r="K54" i="70"/>
  <c r="J54" i="70"/>
  <c r="M54" i="70" s="1"/>
  <c r="K24" i="70"/>
  <c r="J24" i="70"/>
  <c r="L24" i="70"/>
  <c r="K16" i="70"/>
  <c r="J16" i="70"/>
  <c r="M79" i="70"/>
  <c r="M67" i="70"/>
  <c r="M27" i="70"/>
  <c r="M77" i="70"/>
  <c r="J78" i="70" s="1"/>
  <c r="M31" i="70"/>
  <c r="G23" i="53"/>
  <c r="G69" i="70"/>
  <c r="G23" i="36"/>
  <c r="G43" i="70"/>
  <c r="G23" i="32"/>
  <c r="G35" i="70"/>
  <c r="H35" i="70" s="1"/>
  <c r="M41" i="70"/>
  <c r="K14" i="70"/>
  <c r="J14" i="70"/>
  <c r="M14" i="70" s="1"/>
  <c r="K38" i="70"/>
  <c r="J38" i="70"/>
  <c r="M38" i="70" s="1"/>
  <c r="H33" i="70"/>
  <c r="H37" i="70"/>
  <c r="H47" i="70"/>
  <c r="H49" i="70"/>
  <c r="H61" i="70"/>
  <c r="M9" i="70"/>
  <c r="J92" i="70"/>
  <c r="K92" i="70"/>
  <c r="M92" i="70" s="1"/>
  <c r="M64" i="70"/>
  <c r="M56" i="70"/>
  <c r="M44" i="70"/>
  <c r="M30" i="70"/>
  <c r="I51" i="23"/>
  <c r="I53" i="26"/>
  <c r="I52" i="28"/>
  <c r="I52" i="29"/>
  <c r="I52" i="33"/>
  <c r="M34" i="70"/>
  <c r="I52" i="37"/>
  <c r="I51" i="40"/>
  <c r="I51" i="68"/>
  <c r="I53" i="44"/>
  <c r="I52" i="54"/>
  <c r="I52" i="57"/>
  <c r="I53" i="65"/>
  <c r="I52" i="59"/>
  <c r="I51" i="61"/>
  <c r="H11" i="70"/>
  <c r="H13" i="70"/>
  <c r="H15" i="70"/>
  <c r="H17" i="70"/>
  <c r="H19" i="70"/>
  <c r="H21" i="70"/>
  <c r="H23" i="70"/>
  <c r="H27" i="70"/>
  <c r="H31" i="70"/>
  <c r="H39" i="70"/>
  <c r="H43" i="70"/>
  <c r="H45" i="70"/>
  <c r="H59" i="70"/>
  <c r="H65" i="70"/>
  <c r="H69" i="70"/>
  <c r="H71" i="70"/>
  <c r="H73" i="70"/>
  <c r="H75" i="70"/>
  <c r="H77" i="70"/>
  <c r="H79" i="70"/>
  <c r="H87" i="70"/>
  <c r="H89" i="70"/>
  <c r="H93" i="70"/>
  <c r="H25" i="70"/>
  <c r="I51" i="18"/>
  <c r="I52" i="17"/>
  <c r="I53" i="30"/>
  <c r="I51" i="36"/>
  <c r="I51" i="39"/>
  <c r="I52" i="16"/>
  <c r="I52" i="27"/>
  <c r="I52" i="32"/>
  <c r="I52" i="34"/>
  <c r="G57" i="70"/>
  <c r="G23" i="44"/>
  <c r="G83" i="70"/>
  <c r="G23" i="59"/>
  <c r="H51" i="23"/>
  <c r="H52" i="17"/>
  <c r="H52" i="16"/>
  <c r="H52" i="27"/>
  <c r="H53" i="30"/>
  <c r="H52" i="32"/>
  <c r="H52" i="33"/>
  <c r="H51" i="36"/>
  <c r="H51" i="39"/>
  <c r="I51" i="47"/>
  <c r="I52" i="56"/>
  <c r="I52" i="58"/>
  <c r="G23" i="29"/>
  <c r="G23" i="39"/>
  <c r="I48" i="43"/>
  <c r="I52" i="43" s="1"/>
  <c r="H52" i="43"/>
  <c r="I52" i="45"/>
  <c r="I52" i="48"/>
  <c r="I52" i="49"/>
  <c r="I52" i="50"/>
  <c r="I52" i="53"/>
  <c r="I52" i="55"/>
  <c r="L72" i="70"/>
  <c r="J72" i="70"/>
  <c r="K72" i="70"/>
  <c r="H29" i="70"/>
  <c r="H51" i="70"/>
  <c r="H53" i="70"/>
  <c r="H52" i="45"/>
  <c r="H51" i="47"/>
  <c r="H52" i="48"/>
  <c r="H52" i="49"/>
  <c r="H52" i="50"/>
  <c r="H52" i="53"/>
  <c r="H52" i="55"/>
  <c r="H52" i="56"/>
  <c r="H52" i="58"/>
  <c r="H9" i="70"/>
  <c r="H55" i="70"/>
  <c r="H63" i="70"/>
  <c r="H83" i="70"/>
  <c r="K78" i="70"/>
  <c r="M78" i="70" s="1"/>
  <c r="J88" i="70"/>
  <c r="M88" i="70" s="1"/>
  <c r="G23" i="27"/>
  <c r="L82" i="70" l="1"/>
  <c r="M82" i="70" s="1"/>
  <c r="M95" i="70"/>
  <c r="K50" i="70"/>
  <c r="J50" i="70"/>
  <c r="M24" i="70"/>
  <c r="K26" i="70"/>
  <c r="M26" i="70" s="1"/>
  <c r="K42" i="70"/>
  <c r="L42" i="70"/>
  <c r="J42" i="70"/>
  <c r="M42" i="70" s="1"/>
  <c r="L32" i="70"/>
  <c r="J32" i="70"/>
  <c r="K32" i="70"/>
  <c r="J28" i="70"/>
  <c r="L28" i="70"/>
  <c r="K28" i="70"/>
  <c r="K80" i="70"/>
  <c r="J80" i="70"/>
  <c r="M80" i="70" s="1"/>
  <c r="G95" i="70"/>
  <c r="I57" i="70"/>
  <c r="M16" i="70"/>
  <c r="M76" i="70"/>
  <c r="M62" i="70"/>
  <c r="H95" i="70"/>
  <c r="J10" i="70"/>
  <c r="K10" i="70"/>
  <c r="M72" i="70"/>
  <c r="N95" i="70"/>
  <c r="M50" i="70" l="1"/>
  <c r="N96" i="70"/>
  <c r="M28" i="70"/>
  <c r="M10" i="70"/>
  <c r="M32" i="70"/>
</calcChain>
</file>

<file path=xl/sharedStrings.xml><?xml version="1.0" encoding="utf-8"?>
<sst xmlns="http://schemas.openxmlformats.org/spreadsheetml/2006/main" count="2907" uniqueCount="328">
  <si>
    <t>Skutečnost</t>
  </si>
  <si>
    <t>Hlavní činnost</t>
  </si>
  <si>
    <t>celkem</t>
  </si>
  <si>
    <t>Náklady</t>
  </si>
  <si>
    <t>Výnosy</t>
  </si>
  <si>
    <t>b)</t>
  </si>
  <si>
    <t>Fond odměn</t>
  </si>
  <si>
    <t>Fond rezervní</t>
  </si>
  <si>
    <t>FKSP</t>
  </si>
  <si>
    <t>Tvorba</t>
  </si>
  <si>
    <t>Čerpání</t>
  </si>
  <si>
    <t>d)</t>
  </si>
  <si>
    <t>Fondy</t>
  </si>
  <si>
    <t xml:space="preserve">Stav k </t>
  </si>
  <si>
    <t>Doplňující údaje :</t>
  </si>
  <si>
    <t>Investiční fond</t>
  </si>
  <si>
    <t>Doplňková  činnost</t>
  </si>
  <si>
    <t>z toho:</t>
  </si>
  <si>
    <t xml:space="preserve">celkem   </t>
  </si>
  <si>
    <t xml:space="preserve">Schválený </t>
  </si>
  <si>
    <t>rozpočet</t>
  </si>
  <si>
    <t xml:space="preserve">a)    Náklady a výnosy    </t>
  </si>
  <si>
    <t>Upravený</t>
  </si>
  <si>
    <t>CELKEM</t>
  </si>
  <si>
    <t>IČ</t>
  </si>
  <si>
    <t>Střední škola</t>
  </si>
  <si>
    <t>REKAPITULACE ZA ORGANIZACI :</t>
  </si>
  <si>
    <t>Adresa :</t>
  </si>
  <si>
    <t xml:space="preserve"> - Návrh na příděly do fondů:</t>
  </si>
  <si>
    <t xml:space="preserve"> - Způsob krytí ztráty :</t>
  </si>
  <si>
    <t>c)</t>
  </si>
  <si>
    <t>Závazné ukazatele</t>
  </si>
  <si>
    <t>Limit mzdových prostředků</t>
  </si>
  <si>
    <t>Základní škola a Mateřská škola logopedická</t>
  </si>
  <si>
    <t>VOŠ a SPŠ elektrotechnická</t>
  </si>
  <si>
    <t>SOU strojírenské a lesnické</t>
  </si>
  <si>
    <t>a) Příspěvkové organizace v oblasti školství</t>
  </si>
  <si>
    <t>ORJ -10</t>
  </si>
  <si>
    <t>v tis. Kč</t>
  </si>
  <si>
    <t>ORG</t>
  </si>
  <si>
    <t xml:space="preserve">Název školy </t>
  </si>
  <si>
    <t>Adresa</t>
  </si>
  <si>
    <t>Daň</t>
  </si>
  <si>
    <t>Výsledek hospodaření</t>
  </si>
  <si>
    <t>Rozdělení do fondů - v Kč</t>
  </si>
  <si>
    <t>Pokrytí        ztráty z      minulých      období</t>
  </si>
  <si>
    <t>zlepšený VH</t>
  </si>
  <si>
    <t>ztráta</t>
  </si>
  <si>
    <t>Celkem</t>
  </si>
  <si>
    <t>Náměstí 150</t>
  </si>
  <si>
    <t>783 04  Město Libavá</t>
  </si>
  <si>
    <t>Blanická 16</t>
  </si>
  <si>
    <t>772 00 Olomouc</t>
  </si>
  <si>
    <t>Základní škola a Mateřská škola při FN Olomouc</t>
  </si>
  <si>
    <t>I.P.Pavlova 6</t>
  </si>
  <si>
    <t xml:space="preserve">775 20 Olomouc </t>
  </si>
  <si>
    <t>785 01 Šternberk</t>
  </si>
  <si>
    <t>B. Dvorského 17</t>
  </si>
  <si>
    <t xml:space="preserve">783 51 </t>
  </si>
  <si>
    <t>Olomouc-Sv.K.</t>
  </si>
  <si>
    <t>784 01 Litovel</t>
  </si>
  <si>
    <t>Svatoplukova 11</t>
  </si>
  <si>
    <t>779 00 Olomouc</t>
  </si>
  <si>
    <t>Olomoucká 76</t>
  </si>
  <si>
    <t>Šternberská 35</t>
  </si>
  <si>
    <t xml:space="preserve">783 91 Uničov </t>
  </si>
  <si>
    <t>Palackého 938</t>
  </si>
  <si>
    <t>Opletalova 189</t>
  </si>
  <si>
    <t>Čajkovského 9</t>
  </si>
  <si>
    <t>771 11 Olomouc</t>
  </si>
  <si>
    <t>Tomkova 45</t>
  </si>
  <si>
    <t xml:space="preserve">779 00 </t>
  </si>
  <si>
    <t>Olomouc-Hejčín</t>
  </si>
  <si>
    <t>Horní nám. 5</t>
  </si>
  <si>
    <t>Gymnazijní 257</t>
  </si>
  <si>
    <t>Božetěchova 3</t>
  </si>
  <si>
    <t>tř. 17.listopadu 49</t>
  </si>
  <si>
    <t>772 11 Olomouc</t>
  </si>
  <si>
    <t>Školní 164</t>
  </si>
  <si>
    <t>U Hradiska 4</t>
  </si>
  <si>
    <t xml:space="preserve">774 00 Olomouc </t>
  </si>
  <si>
    <t>tř. Spojenců 11</t>
  </si>
  <si>
    <t>771 00 Olomouc</t>
  </si>
  <si>
    <t>Komenského 677</t>
  </si>
  <si>
    <t>J. Sigmunda 242</t>
  </si>
  <si>
    <t>793 49 Lutín</t>
  </si>
  <si>
    <t>Rooseveltova 79</t>
  </si>
  <si>
    <t>Štursova 14</t>
  </si>
  <si>
    <t>772 86 Olomouc</t>
  </si>
  <si>
    <t>Opavská 4</t>
  </si>
  <si>
    <t>Na Vozovce 32</t>
  </si>
  <si>
    <t>Kavaleristů 6</t>
  </si>
  <si>
    <t>Základní umělecká škola M. Stibora - výtv. obor</t>
  </si>
  <si>
    <t>Pionýrská 4</t>
  </si>
  <si>
    <t>Jungmannova 740</t>
  </si>
  <si>
    <t>Dvořákova 349</t>
  </si>
  <si>
    <t>793 05 Mor. Beroun</t>
  </si>
  <si>
    <t>tř. 17.listopadu 47</t>
  </si>
  <si>
    <t>771 74 Olomouc</t>
  </si>
  <si>
    <t>Komenského 719/6</t>
  </si>
  <si>
    <t>Nádražní 530</t>
  </si>
  <si>
    <t>U Sportovní haly 1a</t>
  </si>
  <si>
    <t>saldo</t>
  </si>
  <si>
    <t>Základní škola a Mateřská škola Libavá</t>
  </si>
  <si>
    <t>Základní škola Šternberk</t>
  </si>
  <si>
    <t>Základní škola, Dětský domov a Školní jídelna Litovel</t>
  </si>
  <si>
    <t>Střední průmyslová škola strojnická Olomouc</t>
  </si>
  <si>
    <t>Dům dětí a mládeže Olomouc</t>
  </si>
  <si>
    <t>Název organizace :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</si>
  <si>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</si>
  <si>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</si>
  <si>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daň z příjmů,dodatečné odvody daně z příjmů (nákladová položka)</t>
  </si>
  <si>
    <t>Výsledek hospodaření /po zdanění/</t>
  </si>
  <si>
    <t>Rozdělení výsledku hospodaření</t>
  </si>
  <si>
    <t>v Kč</t>
  </si>
  <si>
    <t>Schválená částka</t>
  </si>
  <si>
    <t>% plnění</t>
  </si>
  <si>
    <t>Neinvestiční příspěvek /odpisy/</t>
  </si>
  <si>
    <t>Neinvestiční příspěvek /nájemné/</t>
  </si>
  <si>
    <t>jednotka -  Kč na 2 des. místa</t>
  </si>
  <si>
    <t>Finanční krytí k</t>
  </si>
  <si>
    <t>Gymnázium, Olomouc, Čajkovského 9</t>
  </si>
  <si>
    <t>Gymnázium, Šternberk</t>
  </si>
  <si>
    <t>Střední škola polygrafická, Olomouc</t>
  </si>
  <si>
    <t>Mateřská škola Olomouc</t>
  </si>
  <si>
    <t>Základní škola prof. Z. Matějčka Olomouc</t>
  </si>
  <si>
    <t>Gymnázium Jana Opletala, Litovel</t>
  </si>
  <si>
    <t>Slovanské gymnázium Olomouc</t>
  </si>
  <si>
    <t>Gymnázium Olomouc - Hejčín</t>
  </si>
  <si>
    <t>Gymnázium, Uničov, Gymnazijní 257</t>
  </si>
  <si>
    <t>Obchodní akademie Olomouc</t>
  </si>
  <si>
    <t>Sigmundova střední škola strojírenská, Lutín</t>
  </si>
  <si>
    <t>Střední škola polytechnická, Olomouc</t>
  </si>
  <si>
    <t>Olomouc</t>
  </si>
  <si>
    <t>Olomouckého kraje</t>
  </si>
  <si>
    <t xml:space="preserve">                Mgr. Miroslav Gajdůšek, MBA</t>
  </si>
  <si>
    <t>tř. Svornosti 37/900</t>
  </si>
  <si>
    <t>Náměstí 150, Město Libavá</t>
  </si>
  <si>
    <t>Blanická 16, Olomouc</t>
  </si>
  <si>
    <t>I.P.Pavlova 6, Olomouc</t>
  </si>
  <si>
    <t>tř. Svornosti 37/900, Olomouc</t>
  </si>
  <si>
    <t>00601683</t>
  </si>
  <si>
    <t>00601802</t>
  </si>
  <si>
    <t>Svatoplukova 11, Olomouc - Řepčín</t>
  </si>
  <si>
    <t>B. Dvorského 17, Olomouc - Svatý Kopeček</t>
  </si>
  <si>
    <t>00601691</t>
  </si>
  <si>
    <t>Olomoucká 76, Šternberk</t>
  </si>
  <si>
    <t>61989789</t>
  </si>
  <si>
    <t>Základní škola, Šternberská 35, Uničov</t>
  </si>
  <si>
    <t>Šternberská 35, Uničov</t>
  </si>
  <si>
    <t>61989762</t>
  </si>
  <si>
    <t>Palackého 938, Litovel</t>
  </si>
  <si>
    <t>61989771</t>
  </si>
  <si>
    <t>Opletalova 189, Litovel</t>
  </si>
  <si>
    <t>00601772</t>
  </si>
  <si>
    <t>Čajkovského 9, Olomouc</t>
  </si>
  <si>
    <t>00848956</t>
  </si>
  <si>
    <t>00601781</t>
  </si>
  <si>
    <t>Tomkova 45, Olomouc - Hejčín</t>
  </si>
  <si>
    <t>00601799</t>
  </si>
  <si>
    <t>Horní nám. 5, Šternberk</t>
  </si>
  <si>
    <t>00601764</t>
  </si>
  <si>
    <t>Gymnazijní 257, Uničov</t>
  </si>
  <si>
    <t>00601756</t>
  </si>
  <si>
    <t>Božetěchova 3, Olomouc</t>
  </si>
  <si>
    <t>00844012</t>
  </si>
  <si>
    <t>00601748</t>
  </si>
  <si>
    <t>Školní 164, Uničov</t>
  </si>
  <si>
    <t>00601730</t>
  </si>
  <si>
    <t>Střední škola zemědělská, Olomouc, U Hradiska 4</t>
  </si>
  <si>
    <t>U Hradiska 4, Olomouc</t>
  </si>
  <si>
    <t>00602035</t>
  </si>
  <si>
    <t>Pöttingova 2, Olomouc</t>
  </si>
  <si>
    <t>00601713</t>
  </si>
  <si>
    <t>00601721</t>
  </si>
  <si>
    <t>SZdrŠ a VOŠ zdravotnická Emanuela Pöttinga</t>
  </si>
  <si>
    <t>00600938</t>
  </si>
  <si>
    <t>Komenského 677, Litovel</t>
  </si>
  <si>
    <t>00848875</t>
  </si>
  <si>
    <t>J. Sigmunda 242, Lutín</t>
  </si>
  <si>
    <t>66935733</t>
  </si>
  <si>
    <t>00845337</t>
  </si>
  <si>
    <t>Rooseveltova 79, Olomouc</t>
  </si>
  <si>
    <t>13643606</t>
  </si>
  <si>
    <t>Střední Novosadská 55, Olomouc</t>
  </si>
  <si>
    <t>00848778</t>
  </si>
  <si>
    <t>Štursova 14, Olomouc</t>
  </si>
  <si>
    <t>00577448</t>
  </si>
  <si>
    <t>Střední škola technická a obchodní, Olomouc</t>
  </si>
  <si>
    <t>14451085</t>
  </si>
  <si>
    <t>Opavská 4, Šternberk</t>
  </si>
  <si>
    <t>00848794</t>
  </si>
  <si>
    <t>Základní umělecká škola Iši Krejčího Olomouc</t>
  </si>
  <si>
    <t>Na Vozovce 32, Olomouc</t>
  </si>
  <si>
    <t>47654236</t>
  </si>
  <si>
    <t>Základní umělecká škola "Žerotín", Olomouc</t>
  </si>
  <si>
    <t>Kavaleristů 6, Olomouc</t>
  </si>
  <si>
    <t>00096725</t>
  </si>
  <si>
    <t>ZUŠ Miloslava Stibora - výtvarný obor, Olomouc</t>
  </si>
  <si>
    <t>Pionýrská 4, Olomouc</t>
  </si>
  <si>
    <t>47654279</t>
  </si>
  <si>
    <t>Základní umělecká škola Litovel</t>
  </si>
  <si>
    <t>Jungmannova 740, Litovel</t>
  </si>
  <si>
    <t>47654325</t>
  </si>
  <si>
    <t>Základní umělecká škola, Uničov, Litovelská 190</t>
  </si>
  <si>
    <t>Litovelská 190, Uničov</t>
  </si>
  <si>
    <t>47654244</t>
  </si>
  <si>
    <t>Základní umělecká škola, Moravský Beroun</t>
  </si>
  <si>
    <t>Dvořákova 349, Moravský Beroun</t>
  </si>
  <si>
    <t>00852716</t>
  </si>
  <si>
    <t>00096792</t>
  </si>
  <si>
    <t>Dům dětí a mládeže Litovel</t>
  </si>
  <si>
    <t>Komenského 719/6, Litovel</t>
  </si>
  <si>
    <t>61989738</t>
  </si>
  <si>
    <t>Dům dětí a mládeže Vila Tereza, Uničov</t>
  </si>
  <si>
    <t>Nádražní 530, Uničov</t>
  </si>
  <si>
    <t>47654392</t>
  </si>
  <si>
    <t>Dětský domov a Školní jídelna, Olomouc</t>
  </si>
  <si>
    <t>00849235</t>
  </si>
  <si>
    <t>60338911</t>
  </si>
  <si>
    <t>Odvody z investičního fondu /odpisy/</t>
  </si>
  <si>
    <t>Odvody z investičního fondu /spolufin. akcí/</t>
  </si>
  <si>
    <t>Jazyková škola s právem státní jazykové zkoušky</t>
  </si>
  <si>
    <t xml:space="preserve">Částka </t>
  </si>
  <si>
    <t>Správce:  vedoucí odboru</t>
  </si>
  <si>
    <t>nerozp.</t>
  </si>
  <si>
    <t>Základní škola a Mateřská škola</t>
  </si>
  <si>
    <t>Mateřská škola</t>
  </si>
  <si>
    <t xml:space="preserve">Základní škola a Mateřská škola při FN </t>
  </si>
  <si>
    <t>Základní škola prof. Z. Matějčka</t>
  </si>
  <si>
    <t xml:space="preserve">Základní škola </t>
  </si>
  <si>
    <t>Základní škola</t>
  </si>
  <si>
    <t xml:space="preserve">Základní škola, Dětský domov a Školní jídelna </t>
  </si>
  <si>
    <t>Gymnázium Jana Opletala</t>
  </si>
  <si>
    <t>Gymnázium</t>
  </si>
  <si>
    <t>Slovanské gymnázium</t>
  </si>
  <si>
    <t xml:space="preserve">Gymnázium </t>
  </si>
  <si>
    <t>Střední průmyslová škola strojnická</t>
  </si>
  <si>
    <t>Střední škola zemědělská</t>
  </si>
  <si>
    <t xml:space="preserve">Jazyková škola s právem SJZ </t>
  </si>
  <si>
    <t>Obchodní akademie</t>
  </si>
  <si>
    <t>Sigmundova střední škola strojírenská</t>
  </si>
  <si>
    <t>Střední škola polytechnická</t>
  </si>
  <si>
    <t>Střední škola polygrafická</t>
  </si>
  <si>
    <t>Střední škola technická a obchodní</t>
  </si>
  <si>
    <t xml:space="preserve">Základní umělecká škola  Iši Krejčího </t>
  </si>
  <si>
    <t>Základní umělecká škola „Žerotín“</t>
  </si>
  <si>
    <t>Základní umělecká škola</t>
  </si>
  <si>
    <t xml:space="preserve">Dům dětí a mládeže </t>
  </si>
  <si>
    <t>Dům dětí a mládeže</t>
  </si>
  <si>
    <t>Dům dětí a mládeže Vila Tereza</t>
  </si>
  <si>
    <t>Dětský domov a Školní jídelna</t>
  </si>
  <si>
    <t>Střední škola logistiky a chemie</t>
  </si>
  <si>
    <t>U Hradiska 29</t>
  </si>
  <si>
    <t xml:space="preserve">Střední škola logistiky a chemie, Olomouc </t>
  </si>
  <si>
    <t>U Hradiska 29, Olomouc</t>
  </si>
  <si>
    <t>SOŠ obchodu a služeb</t>
  </si>
  <si>
    <t>Litovelská 190</t>
  </si>
  <si>
    <t>Pedagogicko-psychologická poradna  OK</t>
  </si>
  <si>
    <t>Stř. Novosadská 55</t>
  </si>
  <si>
    <t>Pöttingova 2</t>
  </si>
  <si>
    <t>tř. J. z Poděbrad 13</t>
  </si>
  <si>
    <t>SZŠ a VOŠ zdravotnická Emanuela Pöttinga</t>
  </si>
  <si>
    <t>tř. Jiřího z Poděbrad 13, Olomouc</t>
  </si>
  <si>
    <t>tř.  17. listopadu 49, Olomouc</t>
  </si>
  <si>
    <t>tř. Spojenců 11, Olomouc</t>
  </si>
  <si>
    <t>tř. 17. listopadu 47, Olomouc</t>
  </si>
  <si>
    <t>Základní škola a Mateřská škola logopedická Olomouc</t>
  </si>
  <si>
    <t>Pedagogicko - psychologická poradna Olomouckého kraje</t>
  </si>
  <si>
    <t>Střední odborná škola Litovel</t>
  </si>
  <si>
    <t xml:space="preserve">Střední odborná škola  </t>
  </si>
  <si>
    <t>Kosinova 872/4, Olomouc</t>
  </si>
  <si>
    <t>Kosinova 872/4</t>
  </si>
  <si>
    <t>záporný</t>
  </si>
  <si>
    <t>nulový</t>
  </si>
  <si>
    <t>kladný</t>
  </si>
  <si>
    <t>změna</t>
  </si>
  <si>
    <t>Školní jídelna Olomouc - Hejčín, p.o.</t>
  </si>
  <si>
    <t>Olomouc - Hejčín</t>
  </si>
  <si>
    <t xml:space="preserve">772 00 </t>
  </si>
  <si>
    <t>Školní jídelna Olomouc - Hejčín, příspěvková organizace</t>
  </si>
  <si>
    <t>jednotka - Kč na 2 des. místa</t>
  </si>
  <si>
    <t>Pozn.: Vynaložené odpisy nad stanovený limit byly finančně pokryty z provozních prostředků organizace- 356,- Kč.</t>
  </si>
  <si>
    <t>U Sportovní haly 1a/544, Olomouc</t>
  </si>
  <si>
    <t>72543850</t>
  </si>
  <si>
    <t>U Sportovní haly 1a, Olomouc</t>
  </si>
  <si>
    <t xml:space="preserve"> -   2 organizace s vyrovnaným výsledkem hospodaření</t>
  </si>
  <si>
    <t>Rekapitulace hospodaření /výsledek hospodaření/  za rok  2012  - okres Olomouc</t>
  </si>
  <si>
    <t>Stav k 1.1.2012</t>
  </si>
  <si>
    <t>Základní škola a Mateřská škola prof. V. Vejdovského</t>
  </si>
  <si>
    <t>Tomkova 42</t>
  </si>
  <si>
    <t>Střední průmyslová škola a SOU</t>
  </si>
  <si>
    <t>Střední průmyslová škola a SOU Uničov</t>
  </si>
  <si>
    <t>Pozn.: Odvod z investičního fondu (navýšení neinvestičního příspěvku na provoz) ve výši 66 786,- Kč.</t>
  </si>
  <si>
    <t>Pozn.: Vynaložené odpisy nad stanovený limit byly finančně pokryty z provozních prostředků organizace- 61,40,- Kč.</t>
  </si>
  <si>
    <t xml:space="preserve">Základní škola a Mateřská škola prof. V. Vejdovského </t>
  </si>
  <si>
    <t>Tomkova 42, 779 00 Olomouc - Hejčín</t>
  </si>
  <si>
    <t>Pozn 1.: Odvod z IF ve výši 216 000,- Kč  (grant od nadace Prof. V. Vejdovského - výstavba venkovního hřiště).</t>
  </si>
  <si>
    <t>Pozn.: Vynaložené odpisy nad stanovený limit byly finančně pokryty z provozních prostředků organizace- 3,- Kč.</t>
  </si>
  <si>
    <t>Pozn.: Vynaložené odpisy nad stanovený limit byly finančně pokryty z provozních prostředků organizace- 318,- Kč.</t>
  </si>
  <si>
    <t>Pozn.: Vynaložené odpisy nad stanovený limit byly finančně pokryty z provozních prostředků organizace- 0,62 Kč.</t>
  </si>
  <si>
    <t>Pozn.: Vynaložené odpisy nad stanovený limit byly finančně pokryty z provozních prostředků organizace- 7 662,- Kč.</t>
  </si>
  <si>
    <t>Ztráta 75 135,69 Kč bude pokryta z prostředků rezervního fondu v souladu s ust. § 30, odst. 3d) zákona č. 250/2000 Sb., o rozpočtových pravidlech územních rozpočtů ve znění pozdějších předpisů - použití prostředků rezervního fondu, vyjma poskytnutých darů.</t>
  </si>
  <si>
    <t>Pozn. : Vynaložené odpisy nad stanovený limit byly finančně pokryty z provozních prostředků organizace- 227,- Kč.</t>
  </si>
  <si>
    <t>Pozn. : Vynaložené odpisy nad stanovený limit byly finančně pokryty z provozních prostředků organizace- 198,- Kč.</t>
  </si>
  <si>
    <t xml:space="preserve">Pozn. Neinvestiční příspěvek - odpisy - příspěvková organizace vrátila částku 6 530,-Kč dne 11.1.2013 na účet Olom. kraje </t>
  </si>
  <si>
    <t>Z celkového počtu 43 organizací okresu Olomouc skončilo:</t>
  </si>
  <si>
    <t xml:space="preserve"> -   1 organizace ve ztrátě v celkové výši -75 135,69 Kč  </t>
  </si>
  <si>
    <t xml:space="preserve">Pozn. Neinvestiční příspěvek - odpisy - příspěvková organizace vrátila částku 40 641,-Kč dne 11.1.2013 na účet Olom. kraje 
</t>
  </si>
  <si>
    <t xml:space="preserve"> - 40 organizací se zlepšeným výsledkem hospodaření v celkové výši 6 369 188,55 Kč</t>
  </si>
  <si>
    <t xml:space="preserve"> </t>
  </si>
  <si>
    <t xml:space="preserve">Pozn. Neinvestiční příspěvek - odpisy - příspěvková organizace vrátila částku 10 458,-Kč dne 15.1.2013 na účet Olom. kraje 
</t>
  </si>
  <si>
    <t>Zlepšený výsledek hospodaření za rok 2012 ve výši 217 827,42 Kč bude použit k úhradě ztráty z minulých let, která je k 31.12. 2012 ve výši -4 106 694,05. Zbylá část (-3 888 866,63) bude uhrazena ze zlepšeného výsledku hospodaření v následujících letech.</t>
  </si>
  <si>
    <t xml:space="preserve">Pozn. Neinvestiční příspěvek - odpisy - příspěvková organizace vrátila částku 932,- Kč dne 11.1.2013 na účet Olom. kraje 
Pozn. Neinvestiční příspěvek - odpisy - příspěvková organizace vrátila částku 6 530,-Kč dne 11.1.2013 na účet Olom. kraje 
</t>
  </si>
  <si>
    <t xml:space="preserve">Pozn. Neinvestiční příspěvek - odpisy - příspěvková organizace vrátila částku 58,- Kč dne 15.1.2013 na účet Olom. kraje 
</t>
  </si>
  <si>
    <t xml:space="preserve">Pozn. Neinvestiční příspěvek - odpisy - příspěvková organizace vrátila částku 32 429,74 Kč dne 14.1.2013 na účet Olom. kraje 
</t>
  </si>
  <si>
    <t xml:space="preserve">Pozn. Neinvestiční příspěvek - odpisy - příspěvková organizace vrátila částku 3 599,-Kč dne 11.1.2013 na účet Olom. kraje 
</t>
  </si>
  <si>
    <t xml:space="preserve">Pozn. Neinvestiční příspěvek - odpisy - příspěvková organizace vrátila částku 3 681,-Kč dne 14.1.2013 na účet Olom. kraje 
</t>
  </si>
  <si>
    <t xml:space="preserve">Pozn. Neinvestiční příspěvek - odpisy - příspěvková organizace vrátila částku 12 162,48 Kč dne 14.1.2013 na účet Olom. kraje 
</t>
  </si>
  <si>
    <t>Pozn 2.: Vynaložené odpisy nad stanovený limit byly finančně pokryty z provozních prostředků organizace-    858,84 Kč.</t>
  </si>
  <si>
    <t>Zlepšený výsledek hospodaření za rok 2012 ve výši 481 721,17 Kč bude použit k úhradě ztráty z minulých let, která je k 31.12. 2012 ve výši -1 200 764,70 Kč. Zbylá část (-719 043,53) bude uhrazena ze zlepšeného výsledku hospodaření v následujících letech.</t>
  </si>
  <si>
    <t xml:space="preserve">Pozn 1. Neinvestiční příspěvek - odpisy - příspěvková organizace vrátila částku Kč 2 513,20  dne 11.1.2013 na účet Olom. kraje 
</t>
  </si>
  <si>
    <t xml:space="preserve">Pozn. Neinvestiční příspěvek - odpisy - příspěvková organizace vrátila částku 1 300,- Kč dne 16.1.2013 na účet Olom. kraje </t>
  </si>
  <si>
    <t>Výsledek hospodaření převezme Olomoucký kraj (ztráta minulých let ve výši - 288 397,90 Kč). Organizace byla k 31.12.2012 zrušena.</t>
  </si>
  <si>
    <t>Pozn. : Vynaložené odpisy nad stanovený limit byly finančně pokryty z vlastních prostředků organizace-  1 103,- Kč.</t>
  </si>
  <si>
    <t>Pozn. Vynaložené odpisy nad stanovený limit byly finančně pokryty z provozních prostředků organizace-   920,- Kč.</t>
  </si>
  <si>
    <t>Pozn. Neinvestiční příspěvek - odpisy - příspěvková organizace vrátila částku 77 029,80-Kč dne 16.1.2013 na účet Olom. kraje.</t>
  </si>
  <si>
    <t xml:space="preserve">Pozn 2. Odvod z IF ve výši Kč 1 590 000,- polovina kupní ceny a daň z převodu  nemovitostí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</si>
</sst>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0"/>
      <color indexed="19"/>
      <name val="Comic Sans MS"/>
      <family val="4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name val="Arial Black"/>
      <family val="2"/>
      <charset val="238"/>
    </font>
    <font>
      <b/>
      <sz val="11"/>
      <name val="Arial Black"/>
      <family val="2"/>
      <charset val="238"/>
    </font>
    <font>
      <sz val="10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sz val="11"/>
      <name val="Arial Black"/>
      <family val="2"/>
      <charset val="238"/>
    </font>
    <font>
      <sz val="8"/>
      <name val="Arial"/>
      <family val="2"/>
      <charset val="238"/>
    </font>
    <font>
      <b/>
      <sz val="10"/>
      <name val="Comic Sans MS"/>
      <family val="4"/>
      <charset val="238"/>
    </font>
    <font>
      <b/>
      <sz val="11"/>
      <name val="Arial"/>
      <family val="2"/>
      <charset val="238"/>
    </font>
    <font>
      <b/>
      <sz val="12"/>
      <name val="Comic Sans MS"/>
      <family val="4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2"/>
      <name val="Arial Black"/>
      <family val="2"/>
      <charset val="238"/>
    </font>
    <font>
      <sz val="11"/>
      <name val="Arial"/>
      <family val="2"/>
      <charset val="238"/>
    </font>
    <font>
      <sz val="11"/>
      <name val="Comic Sans MS"/>
      <family val="4"/>
      <charset val="238"/>
    </font>
    <font>
      <sz val="12"/>
      <name val="Arial Black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Black"/>
      <family val="2"/>
      <charset val="238"/>
    </font>
    <font>
      <sz val="14"/>
      <name val="Arial Black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4" fontId="5" fillId="0" borderId="0" xfId="0" applyNumberFormat="1" applyFont="1" applyFill="1" applyBorder="1" applyAlignment="1" applyProtection="1">
      <alignment shrinkToFit="1"/>
      <protection hidden="1"/>
    </xf>
    <xf numFmtId="0" fontId="17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30" fillId="0" borderId="0" xfId="0" applyFont="1" applyFill="1"/>
    <xf numFmtId="0" fontId="0" fillId="0" borderId="0" xfId="0" applyFill="1" applyBorder="1"/>
    <xf numFmtId="0" fontId="24" fillId="0" borderId="1" xfId="0" applyFont="1" applyFill="1" applyBorder="1"/>
    <xf numFmtId="0" fontId="24" fillId="0" borderId="2" xfId="0" applyFont="1" applyFill="1" applyBorder="1"/>
    <xf numFmtId="4" fontId="3" fillId="0" borderId="3" xfId="0" applyNumberFormat="1" applyFont="1" applyFill="1" applyBorder="1"/>
    <xf numFmtId="4" fontId="3" fillId="0" borderId="4" xfId="0" applyNumberFormat="1" applyFont="1" applyFill="1" applyBorder="1"/>
    <xf numFmtId="4" fontId="3" fillId="0" borderId="5" xfId="0" applyNumberFormat="1" applyFont="1" applyFill="1" applyBorder="1"/>
    <xf numFmtId="4" fontId="10" fillId="0" borderId="3" xfId="0" applyNumberFormat="1" applyFont="1" applyFill="1" applyBorder="1"/>
    <xf numFmtId="4" fontId="10" fillId="0" borderId="6" xfId="0" applyNumberFormat="1" applyFont="1" applyFill="1" applyBorder="1"/>
    <xf numFmtId="10" fontId="10" fillId="0" borderId="8" xfId="0" applyNumberFormat="1" applyFont="1" applyFill="1" applyBorder="1"/>
    <xf numFmtId="10" fontId="10" fillId="0" borderId="9" xfId="0" applyNumberFormat="1" applyFont="1" applyFill="1" applyBorder="1"/>
    <xf numFmtId="10" fontId="10" fillId="0" borderId="10" xfId="0" applyNumberFormat="1" applyFont="1" applyFill="1" applyBorder="1"/>
    <xf numFmtId="10" fontId="10" fillId="0" borderId="11" xfId="0" applyNumberFormat="1" applyFont="1" applyFill="1" applyBorder="1"/>
    <xf numFmtId="0" fontId="10" fillId="0" borderId="0" xfId="0" applyFont="1" applyFill="1" applyBorder="1"/>
    <xf numFmtId="4" fontId="10" fillId="0" borderId="12" xfId="0" applyNumberFormat="1" applyFont="1" applyFill="1" applyBorder="1"/>
    <xf numFmtId="4" fontId="10" fillId="0" borderId="0" xfId="0" applyNumberFormat="1" applyFont="1" applyFill="1" applyBorder="1"/>
    <xf numFmtId="10" fontId="10" fillId="0" borderId="0" xfId="0" applyNumberFormat="1" applyFont="1" applyFill="1" applyBorder="1"/>
    <xf numFmtId="0" fontId="10" fillId="0" borderId="15" xfId="0" applyFont="1" applyFill="1" applyBorder="1"/>
    <xf numFmtId="0" fontId="10" fillId="0" borderId="16" xfId="0" applyFont="1" applyFill="1" applyBorder="1"/>
    <xf numFmtId="0" fontId="10" fillId="0" borderId="17" xfId="0" applyFont="1" applyFill="1" applyBorder="1"/>
    <xf numFmtId="10" fontId="10" fillId="0" borderId="12" xfId="0" applyNumberFormat="1" applyFont="1" applyFill="1" applyBorder="1"/>
    <xf numFmtId="0" fontId="3" fillId="0" borderId="0" xfId="0" applyFont="1" applyFill="1" applyAlignment="1" applyProtection="1">
      <alignment horizontal="right"/>
      <protection hidden="1"/>
    </xf>
    <xf numFmtId="4" fontId="25" fillId="0" borderId="0" xfId="0" applyNumberFormat="1" applyFont="1" applyFill="1" applyBorder="1" applyAlignment="1" applyProtection="1">
      <alignment shrinkToFit="1"/>
      <protection hidden="1"/>
    </xf>
    <xf numFmtId="4" fontId="25" fillId="0" borderId="0" xfId="0" applyNumberFormat="1" applyFont="1" applyFill="1" applyAlignment="1" applyProtection="1">
      <alignment shrinkToFit="1"/>
      <protection hidden="1"/>
    </xf>
    <xf numFmtId="4" fontId="2" fillId="0" borderId="0" xfId="0" applyNumberFormat="1" applyFont="1" applyFill="1" applyBorder="1" applyAlignment="1" applyProtection="1">
      <alignment shrinkToFit="1"/>
      <protection hidden="1"/>
    </xf>
    <xf numFmtId="4" fontId="18" fillId="0" borderId="0" xfId="0" applyNumberFormat="1" applyFont="1" applyFill="1" applyBorder="1" applyAlignment="1" applyProtection="1">
      <alignment shrinkToFit="1"/>
      <protection hidden="1"/>
    </xf>
    <xf numFmtId="4" fontId="27" fillId="0" borderId="0" xfId="0" applyNumberFormat="1" applyFont="1" applyFill="1" applyBorder="1" applyAlignment="1" applyProtection="1">
      <alignment shrinkToFit="1"/>
      <protection hidden="1"/>
    </xf>
    <xf numFmtId="4" fontId="3" fillId="0" borderId="20" xfId="0" applyNumberFormat="1" applyFont="1" applyFill="1" applyBorder="1"/>
    <xf numFmtId="10" fontId="16" fillId="0" borderId="0" xfId="0" applyNumberFormat="1" applyFont="1" applyFill="1" applyBorder="1"/>
    <xf numFmtId="0" fontId="24" fillId="0" borderId="21" xfId="0" applyFont="1" applyFill="1" applyBorder="1"/>
    <xf numFmtId="4" fontId="3" fillId="0" borderId="12" xfId="0" applyNumberFormat="1" applyFont="1" applyFill="1" applyBorder="1"/>
    <xf numFmtId="4" fontId="3" fillId="0" borderId="22" xfId="0" applyNumberFormat="1" applyFont="1" applyFill="1" applyBorder="1"/>
    <xf numFmtId="4" fontId="3" fillId="0" borderId="23" xfId="0" applyNumberFormat="1" applyFont="1" applyFill="1" applyBorder="1"/>
    <xf numFmtId="10" fontId="10" fillId="0" borderId="25" xfId="0" applyNumberFormat="1" applyFont="1" applyFill="1" applyBorder="1"/>
    <xf numFmtId="10" fontId="10" fillId="0" borderId="26" xfId="0" applyNumberFormat="1" applyFont="1" applyFill="1" applyBorder="1"/>
    <xf numFmtId="10" fontId="16" fillId="0" borderId="26" xfId="0" applyNumberFormat="1" applyFont="1" applyFill="1" applyBorder="1"/>
    <xf numFmtId="10" fontId="10" fillId="0" borderId="27" xfId="0" applyNumberFormat="1" applyFont="1" applyFill="1" applyBorder="1"/>
    <xf numFmtId="0" fontId="0" fillId="0" borderId="12" xfId="0" applyFill="1" applyBorder="1"/>
    <xf numFmtId="4" fontId="10" fillId="0" borderId="29" xfId="0" applyNumberFormat="1" applyFont="1" applyFill="1" applyBorder="1"/>
    <xf numFmtId="4" fontId="10" fillId="0" borderId="30" xfId="0" applyNumberFormat="1" applyFont="1" applyFill="1" applyBorder="1"/>
    <xf numFmtId="0" fontId="23" fillId="0" borderId="32" xfId="0" applyFont="1" applyFill="1" applyBorder="1"/>
    <xf numFmtId="0" fontId="23" fillId="0" borderId="33" xfId="0" applyFont="1" applyFill="1" applyBorder="1"/>
    <xf numFmtId="4" fontId="0" fillId="0" borderId="34" xfId="0" applyNumberFormat="1" applyFill="1" applyBorder="1"/>
    <xf numFmtId="4" fontId="0" fillId="0" borderId="20" xfId="0" applyNumberFormat="1" applyFill="1" applyBorder="1"/>
    <xf numFmtId="4" fontId="0" fillId="0" borderId="35" xfId="0" applyNumberFormat="1" applyFill="1" applyBorder="1"/>
    <xf numFmtId="4" fontId="0" fillId="0" borderId="12" xfId="0" applyNumberFormat="1" applyFill="1" applyBorder="1"/>
    <xf numFmtId="0" fontId="0" fillId="0" borderId="1" xfId="0" applyNumberFormat="1" applyFill="1" applyBorder="1" applyAlignment="1">
      <alignment wrapText="1"/>
    </xf>
    <xf numFmtId="0" fontId="23" fillId="0" borderId="10" xfId="0" applyFont="1" applyFill="1" applyBorder="1"/>
    <xf numFmtId="4" fontId="10" fillId="0" borderId="12" xfId="0" applyNumberFormat="1" applyFont="1" applyFill="1" applyBorder="1" applyAlignment="1"/>
    <xf numFmtId="0" fontId="26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11" fillId="0" borderId="0" xfId="0" applyFont="1" applyFill="1" applyAlignment="1" applyProtection="1">
      <protection hidden="1"/>
    </xf>
    <xf numFmtId="0" fontId="0" fillId="0" borderId="0" xfId="0" applyFill="1" applyAlignment="1"/>
    <xf numFmtId="0" fontId="25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13" fillId="0" borderId="0" xfId="0" applyFont="1" applyFill="1" applyAlignment="1" applyProtection="1">
      <alignment shrinkToFit="1"/>
      <protection hidden="1"/>
    </xf>
    <xf numFmtId="0" fontId="3" fillId="0" borderId="0" xfId="0" applyFont="1" applyFill="1" applyAlignment="1" applyProtection="1">
      <alignment horizontal="right" vertical="center"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horizontal="right"/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right" shrinkToFit="1"/>
      <protection hidden="1"/>
    </xf>
    <xf numFmtId="0" fontId="3" fillId="0" borderId="0" xfId="0" applyFont="1" applyFill="1" applyBorder="1" applyAlignment="1" applyProtection="1">
      <alignment horizontal="center" shrinkToFit="1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4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1" fillId="0" borderId="0" xfId="0" applyFont="1" applyFill="1"/>
    <xf numFmtId="0" fontId="5" fillId="0" borderId="0" xfId="0" applyFont="1" applyFill="1" applyBorder="1" applyProtection="1"/>
    <xf numFmtId="0" fontId="5" fillId="0" borderId="0" xfId="0" applyFont="1" applyFill="1" applyBorder="1"/>
    <xf numFmtId="0" fontId="19" fillId="0" borderId="0" xfId="0" applyFont="1" applyFill="1" applyBorder="1" applyProtection="1"/>
    <xf numFmtId="4" fontId="5" fillId="0" borderId="0" xfId="0" applyNumberFormat="1" applyFont="1" applyFill="1" applyBorder="1"/>
    <xf numFmtId="0" fontId="16" fillId="0" borderId="0" xfId="0" applyFont="1" applyFill="1" applyBorder="1" applyProtection="1"/>
    <xf numFmtId="0" fontId="35" fillId="0" borderId="0" xfId="0" applyFont="1" applyFill="1" applyBorder="1" applyProtection="1"/>
    <xf numFmtId="0" fontId="36" fillId="0" borderId="0" xfId="0" applyFont="1" applyFill="1"/>
    <xf numFmtId="4" fontId="36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Protection="1"/>
    <xf numFmtId="4" fontId="20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21" fillId="0" borderId="0" xfId="0" applyFont="1" applyFill="1" applyBorder="1" applyProtection="1"/>
    <xf numFmtId="0" fontId="28" fillId="0" borderId="0" xfId="0" applyFont="1" applyFill="1" applyBorder="1" applyProtection="1"/>
    <xf numFmtId="4" fontId="27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 shrinkToFit="1"/>
    </xf>
    <xf numFmtId="0" fontId="15" fillId="0" borderId="0" xfId="0" applyFont="1" applyFill="1" applyBorder="1" applyProtection="1">
      <protection hidden="1"/>
    </xf>
    <xf numFmtId="4" fontId="2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3" fillId="0" borderId="0" xfId="0" applyFont="1" applyFill="1" applyBorder="1" applyAlignment="1" applyProtection="1">
      <alignment horizontal="left" indent="2"/>
      <protection hidden="1"/>
    </xf>
    <xf numFmtId="0" fontId="21" fillId="0" borderId="0" xfId="0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Protection="1">
      <protection hidden="1"/>
    </xf>
    <xf numFmtId="14" fontId="0" fillId="0" borderId="0" xfId="0" applyNumberFormat="1" applyFill="1"/>
    <xf numFmtId="10" fontId="0" fillId="0" borderId="0" xfId="0" applyNumberFormat="1" applyFill="1" applyAlignment="1" applyProtection="1">
      <alignment horizontal="right" indent="4"/>
      <protection locked="0"/>
    </xf>
    <xf numFmtId="0" fontId="6" fillId="0" borderId="0" xfId="0" applyFon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0" fillId="0" borderId="0" xfId="0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0" fillId="0" borderId="37" xfId="0" applyFill="1" applyBorder="1" applyProtection="1">
      <protection hidden="1"/>
    </xf>
    <xf numFmtId="0" fontId="0" fillId="0" borderId="38" xfId="0" applyFill="1" applyBorder="1" applyProtection="1">
      <protection hidden="1"/>
    </xf>
    <xf numFmtId="4" fontId="0" fillId="0" borderId="37" xfId="0" applyNumberFormat="1" applyFill="1" applyBorder="1" applyProtection="1">
      <protection hidden="1"/>
    </xf>
    <xf numFmtId="4" fontId="0" fillId="0" borderId="39" xfId="0" applyNumberFormat="1" applyFill="1" applyBorder="1" applyAlignment="1" applyProtection="1">
      <alignment horizontal="right"/>
      <protection hidden="1"/>
    </xf>
    <xf numFmtId="4" fontId="0" fillId="0" borderId="39" xfId="0" applyNumberFormat="1" applyFill="1" applyBorder="1" applyProtection="1">
      <protection hidden="1"/>
    </xf>
    <xf numFmtId="4" fontId="0" fillId="0" borderId="40" xfId="0" applyNumberFormat="1" applyFill="1" applyBorder="1" applyProtection="1">
      <protection hidden="1"/>
    </xf>
    <xf numFmtId="0" fontId="0" fillId="0" borderId="41" xfId="0" applyFill="1" applyBorder="1" applyProtection="1">
      <protection hidden="1"/>
    </xf>
    <xf numFmtId="0" fontId="0" fillId="0" borderId="42" xfId="0" applyFill="1" applyBorder="1" applyProtection="1">
      <protection hidden="1"/>
    </xf>
    <xf numFmtId="4" fontId="0" fillId="0" borderId="41" xfId="0" applyNumberFormat="1" applyFill="1" applyBorder="1" applyProtection="1">
      <protection hidden="1"/>
    </xf>
    <xf numFmtId="4" fontId="0" fillId="0" borderId="43" xfId="0" applyNumberFormat="1" applyFill="1" applyBorder="1" applyAlignment="1" applyProtection="1">
      <alignment horizontal="right"/>
      <protection hidden="1"/>
    </xf>
    <xf numFmtId="4" fontId="0" fillId="0" borderId="43" xfId="0" applyNumberFormat="1" applyFill="1" applyBorder="1" applyProtection="1">
      <protection hidden="1"/>
    </xf>
    <xf numFmtId="4" fontId="0" fillId="0" borderId="44" xfId="0" applyNumberFormat="1" applyFill="1" applyBorder="1" applyProtection="1">
      <protection hidden="1"/>
    </xf>
    <xf numFmtId="0" fontId="5" fillId="0" borderId="15" xfId="0" applyFont="1" applyFill="1" applyBorder="1" applyProtection="1">
      <protection hidden="1"/>
    </xf>
    <xf numFmtId="0" fontId="9" fillId="0" borderId="16" xfId="0" applyFont="1" applyFill="1" applyBorder="1" applyProtection="1">
      <protection hidden="1"/>
    </xf>
    <xf numFmtId="4" fontId="9" fillId="0" borderId="15" xfId="0" applyNumberFormat="1" applyFont="1" applyFill="1" applyBorder="1" applyProtection="1">
      <protection hidden="1"/>
    </xf>
    <xf numFmtId="4" fontId="9" fillId="0" borderId="45" xfId="0" applyNumberFormat="1" applyFont="1" applyFill="1" applyBorder="1" applyProtection="1">
      <protection hidden="1"/>
    </xf>
    <xf numFmtId="4" fontId="9" fillId="0" borderId="46" xfId="0" applyNumberFormat="1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3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10" fontId="39" fillId="0" borderId="0" xfId="0" applyNumberFormat="1" applyFont="1" applyFill="1" applyBorder="1" applyAlignment="1" applyProtection="1">
      <alignment horizontal="right" indent="4"/>
      <protection locked="0"/>
    </xf>
    <xf numFmtId="0" fontId="39" fillId="0" borderId="0" xfId="0" applyFont="1" applyFill="1" applyAlignment="1">
      <alignment horizontal="center"/>
    </xf>
    <xf numFmtId="0" fontId="39" fillId="0" borderId="0" xfId="0" applyFont="1" applyFill="1"/>
    <xf numFmtId="4" fontId="1" fillId="0" borderId="43" xfId="0" applyNumberFormat="1" applyFont="1" applyFill="1" applyBorder="1" applyProtection="1">
      <protection hidden="1"/>
    </xf>
    <xf numFmtId="4" fontId="37" fillId="0" borderId="0" xfId="0" applyNumberFormat="1" applyFont="1" applyFill="1" applyBorder="1" applyProtection="1">
      <protection hidden="1"/>
    </xf>
    <xf numFmtId="0" fontId="38" fillId="0" borderId="0" xfId="0" applyFont="1" applyFill="1" applyAlignment="1">
      <alignment wrapText="1" shrinkToFit="1"/>
    </xf>
    <xf numFmtId="0" fontId="6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protection hidden="1"/>
    </xf>
    <xf numFmtId="2" fontId="0" fillId="0" borderId="0" xfId="0" applyNumberFormat="1" applyFill="1" applyBorder="1" applyAlignment="1" applyProtection="1">
      <protection hidden="1"/>
    </xf>
    <xf numFmtId="4" fontId="3" fillId="0" borderId="0" xfId="0" applyNumberFormat="1" applyFont="1" applyFill="1" applyBorder="1" applyAlignment="1" applyProtection="1">
      <protection hidden="1"/>
    </xf>
    <xf numFmtId="10" fontId="1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Font="1" applyFill="1" applyAlignment="1">
      <alignment horizontal="center"/>
    </xf>
    <xf numFmtId="0" fontId="38" fillId="0" borderId="0" xfId="0" applyFont="1" applyFill="1"/>
    <xf numFmtId="4" fontId="0" fillId="0" borderId="0" xfId="0" applyNumberFormat="1" applyFill="1" applyBorder="1" applyProtection="1">
      <protection hidden="1"/>
    </xf>
    <xf numFmtId="4" fontId="5" fillId="0" borderId="0" xfId="0" applyNumberFormat="1" applyFont="1" applyFill="1" applyBorder="1" applyProtection="1"/>
    <xf numFmtId="0" fontId="1" fillId="0" borderId="37" xfId="0" applyFont="1" applyFill="1" applyBorder="1" applyProtection="1">
      <protection hidden="1"/>
    </xf>
    <xf numFmtId="0" fontId="1" fillId="0" borderId="38" xfId="0" applyFont="1" applyFill="1" applyBorder="1" applyProtection="1">
      <protection hidden="1"/>
    </xf>
    <xf numFmtId="4" fontId="1" fillId="0" borderId="37" xfId="0" applyNumberFormat="1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9" xfId="0" applyNumberFormat="1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0" fontId="1" fillId="0" borderId="41" xfId="0" applyFont="1" applyFill="1" applyBorder="1" applyProtection="1">
      <protection hidden="1"/>
    </xf>
    <xf numFmtId="0" fontId="1" fillId="0" borderId="42" xfId="0" applyFont="1" applyFill="1" applyBorder="1" applyProtection="1">
      <protection hidden="1"/>
    </xf>
    <xf numFmtId="4" fontId="1" fillId="0" borderId="41" xfId="0" applyNumberFormat="1" applyFont="1" applyFill="1" applyBorder="1" applyProtection="1">
      <protection hidden="1"/>
    </xf>
    <xf numFmtId="4" fontId="1" fillId="0" borderId="43" xfId="0" applyNumberFormat="1" applyFont="1" applyFill="1" applyBorder="1" applyAlignment="1" applyProtection="1">
      <alignment horizontal="right"/>
      <protection hidden="1"/>
    </xf>
    <xf numFmtId="4" fontId="1" fillId="0" borderId="44" xfId="0" applyNumberFormat="1" applyFont="1" applyFill="1" applyBorder="1" applyProtection="1">
      <protection hidden="1"/>
    </xf>
    <xf numFmtId="0" fontId="3" fillId="0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wrapText="1" shrinkToFit="1"/>
    </xf>
    <xf numFmtId="10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>
      <alignment horizontal="justify" vertical="top"/>
    </xf>
    <xf numFmtId="4" fontId="37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 indent="2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23" fillId="0" borderId="0" xfId="0" applyFont="1" applyFill="1"/>
    <xf numFmtId="0" fontId="31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47" xfId="0" applyFont="1" applyFill="1" applyBorder="1"/>
    <xf numFmtId="0" fontId="32" fillId="0" borderId="48" xfId="0" applyFont="1" applyFill="1" applyBorder="1"/>
    <xf numFmtId="0" fontId="33" fillId="0" borderId="49" xfId="0" applyFont="1" applyFill="1" applyBorder="1"/>
    <xf numFmtId="0" fontId="33" fillId="0" borderId="7" xfId="0" applyFont="1" applyFill="1" applyBorder="1"/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2" fillId="0" borderId="50" xfId="0" applyFont="1" applyFill="1" applyBorder="1"/>
    <xf numFmtId="0" fontId="32" fillId="0" borderId="51" xfId="0" applyFont="1" applyFill="1" applyBorder="1"/>
    <xf numFmtId="0" fontId="33" fillId="0" borderId="52" xfId="0" applyFont="1" applyFill="1" applyBorder="1"/>
    <xf numFmtId="0" fontId="33" fillId="0" borderId="17" xfId="0" applyFont="1" applyFill="1" applyBorder="1"/>
    <xf numFmtId="0" fontId="3" fillId="0" borderId="15" xfId="0" applyFont="1" applyFill="1" applyBorder="1"/>
    <xf numFmtId="0" fontId="3" fillId="0" borderId="53" xfId="0" applyFont="1" applyFill="1" applyBorder="1"/>
    <xf numFmtId="0" fontId="3" fillId="0" borderId="54" xfId="0" applyFont="1" applyFill="1" applyBorder="1"/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0" fillId="0" borderId="32" xfId="0" applyNumberFormat="1" applyFill="1" applyBorder="1"/>
    <xf numFmtId="4" fontId="0" fillId="0" borderId="56" xfId="0" applyNumberFormat="1" applyFill="1" applyBorder="1"/>
    <xf numFmtId="0" fontId="0" fillId="0" borderId="57" xfId="0" applyNumberFormat="1" applyFill="1" applyBorder="1"/>
    <xf numFmtId="0" fontId="23" fillId="0" borderId="21" xfId="0" applyFont="1" applyFill="1" applyBorder="1"/>
    <xf numFmtId="4" fontId="0" fillId="0" borderId="22" xfId="0" applyNumberFormat="1" applyFill="1" applyBorder="1"/>
    <xf numFmtId="4" fontId="0" fillId="0" borderId="23" xfId="0" applyNumberFormat="1" applyFill="1" applyBorder="1"/>
    <xf numFmtId="0" fontId="0" fillId="0" borderId="1" xfId="0" quotePrefix="1" applyNumberFormat="1" applyFill="1" applyBorder="1"/>
    <xf numFmtId="0" fontId="0" fillId="0" borderId="57" xfId="0" quotePrefix="1" applyNumberFormat="1" applyFill="1" applyBorder="1"/>
    <xf numFmtId="4" fontId="0" fillId="0" borderId="25" xfId="0" applyNumberFormat="1" applyFill="1" applyBorder="1"/>
    <xf numFmtId="4" fontId="0" fillId="0" borderId="58" xfId="0" applyNumberFormat="1" applyFill="1" applyBorder="1"/>
    <xf numFmtId="0" fontId="0" fillId="0" borderId="1" xfId="0" applyNumberFormat="1" applyFill="1" applyBorder="1"/>
    <xf numFmtId="0" fontId="1" fillId="0" borderId="2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23" fillId="0" borderId="57" xfId="0" applyFont="1" applyFill="1" applyBorder="1"/>
    <xf numFmtId="0" fontId="23" fillId="0" borderId="1" xfId="0" applyFont="1" applyFill="1" applyBorder="1"/>
    <xf numFmtId="0" fontId="1" fillId="0" borderId="10" xfId="0" applyFont="1" applyFill="1" applyBorder="1" applyAlignment="1">
      <alignment wrapText="1"/>
    </xf>
    <xf numFmtId="0" fontId="23" fillId="0" borderId="27" xfId="0" applyFont="1" applyFill="1" applyBorder="1"/>
    <xf numFmtId="0" fontId="0" fillId="0" borderId="32" xfId="0" applyNumberFormat="1" applyFill="1" applyBorder="1" applyAlignment="1">
      <alignment wrapText="1"/>
    </xf>
    <xf numFmtId="0" fontId="0" fillId="0" borderId="57" xfId="0" applyNumberFormat="1" applyFill="1" applyBorder="1" applyAlignment="1">
      <alignment wrapText="1"/>
    </xf>
    <xf numFmtId="0" fontId="23" fillId="0" borderId="33" xfId="0" applyFont="1" applyFill="1" applyBorder="1" applyAlignment="1">
      <alignment wrapText="1"/>
    </xf>
    <xf numFmtId="0" fontId="23" fillId="0" borderId="10" xfId="0" applyFont="1" applyFill="1" applyBorder="1" applyAlignment="1">
      <alignment wrapText="1"/>
    </xf>
    <xf numFmtId="0" fontId="23" fillId="0" borderId="33" xfId="0" applyFont="1" applyFill="1" applyBorder="1" applyAlignment="1"/>
    <xf numFmtId="4" fontId="0" fillId="0" borderId="34" xfId="0" applyNumberFormat="1" applyFill="1" applyBorder="1" applyAlignment="1"/>
    <xf numFmtId="4" fontId="0" fillId="0" borderId="35" xfId="0" applyNumberFormat="1" applyFill="1" applyBorder="1" applyAlignment="1"/>
    <xf numFmtId="0" fontId="23" fillId="0" borderId="59" xfId="0" applyFont="1" applyFill="1" applyBorder="1"/>
    <xf numFmtId="0" fontId="23" fillId="0" borderId="32" xfId="0" applyFont="1" applyFill="1" applyBorder="1" applyAlignment="1">
      <alignment wrapText="1"/>
    </xf>
    <xf numFmtId="0" fontId="23" fillId="0" borderId="57" xfId="0" applyFont="1" applyFill="1" applyBorder="1" applyAlignment="1">
      <alignment wrapText="1"/>
    </xf>
    <xf numFmtId="0" fontId="0" fillId="0" borderId="1" xfId="0" applyNumberForma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23" xfId="0" applyFont="1" applyFill="1" applyBorder="1" applyAlignment="1">
      <alignment horizontal="left"/>
    </xf>
    <xf numFmtId="0" fontId="1" fillId="0" borderId="32" xfId="0" applyFont="1" applyFill="1" applyBorder="1" applyAlignment="1"/>
    <xf numFmtId="0" fontId="1" fillId="0" borderId="57" xfId="0" applyFont="1" applyFill="1" applyBorder="1" applyAlignment="1"/>
    <xf numFmtId="4" fontId="0" fillId="0" borderId="61" xfId="0" applyNumberFormat="1" applyFill="1" applyBorder="1"/>
    <xf numFmtId="0" fontId="23" fillId="0" borderId="0" xfId="0" applyFont="1" applyFill="1" applyBorder="1"/>
    <xf numFmtId="0" fontId="23" fillId="0" borderId="62" xfId="0" applyFont="1" applyFill="1" applyBorder="1"/>
    <xf numFmtId="4" fontId="0" fillId="0" borderId="53" xfId="0" applyNumberFormat="1" applyFill="1" applyBorder="1"/>
    <xf numFmtId="0" fontId="18" fillId="0" borderId="3" xfId="0" applyFont="1" applyFill="1" applyBorder="1"/>
    <xf numFmtId="0" fontId="33" fillId="0" borderId="6" xfId="0" applyFont="1" applyFill="1" applyBorder="1"/>
    <xf numFmtId="0" fontId="30" fillId="0" borderId="15" xfId="0" applyFont="1" applyFill="1" applyBorder="1"/>
    <xf numFmtId="0" fontId="30" fillId="0" borderId="16" xfId="0" applyFont="1" applyFill="1" applyBorder="1"/>
    <xf numFmtId="0" fontId="23" fillId="0" borderId="16" xfId="0" applyFont="1" applyFill="1" applyBorder="1"/>
    <xf numFmtId="4" fontId="0" fillId="0" borderId="15" xfId="0" applyNumberFormat="1" applyFill="1" applyBorder="1"/>
    <xf numFmtId="0" fontId="34" fillId="0" borderId="16" xfId="0" applyFont="1" applyFill="1" applyBorder="1"/>
    <xf numFmtId="0" fontId="30" fillId="0" borderId="0" xfId="0" applyFont="1" applyFill="1" applyBorder="1"/>
    <xf numFmtId="0" fontId="41" fillId="0" borderId="0" xfId="0" applyFont="1" applyFill="1" applyBorder="1"/>
    <xf numFmtId="4" fontId="0" fillId="0" borderId="0" xfId="0" applyNumberFormat="1" applyFill="1"/>
    <xf numFmtId="0" fontId="3" fillId="0" borderId="0" xfId="0" applyFont="1" applyFill="1" applyBorder="1" applyAlignment="1" applyProtection="1">
      <alignment vertical="top"/>
      <protection hidden="1"/>
    </xf>
    <xf numFmtId="0" fontId="8" fillId="0" borderId="0" xfId="0" applyFont="1" applyFill="1" applyProtection="1">
      <protection hidden="1"/>
    </xf>
    <xf numFmtId="4" fontId="0" fillId="0" borderId="63" xfId="0" applyNumberFormat="1" applyFill="1" applyBorder="1" applyProtection="1">
      <protection hidden="1"/>
    </xf>
    <xf numFmtId="4" fontId="0" fillId="0" borderId="65" xfId="0" applyNumberFormat="1" applyFill="1" applyBorder="1" applyProtection="1">
      <protection hidden="1"/>
    </xf>
    <xf numFmtId="0" fontId="1" fillId="0" borderId="0" xfId="0" applyFont="1" applyAlignment="1">
      <alignment horizontal="right"/>
    </xf>
    <xf numFmtId="0" fontId="10" fillId="0" borderId="0" xfId="0" applyFont="1" applyFill="1"/>
    <xf numFmtId="2" fontId="42" fillId="0" borderId="0" xfId="0" applyNumberFormat="1" applyFont="1" applyFill="1" applyBorder="1"/>
    <xf numFmtId="4" fontId="0" fillId="0" borderId="0" xfId="0" applyNumberFormat="1" applyFill="1" applyBorder="1"/>
    <xf numFmtId="0" fontId="43" fillId="0" borderId="0" xfId="0" applyFont="1" applyFill="1" applyBorder="1"/>
    <xf numFmtId="0" fontId="0" fillId="2" borderId="0" xfId="0" applyFill="1" applyBorder="1"/>
    <xf numFmtId="4" fontId="16" fillId="0" borderId="3" xfId="0" applyNumberFormat="1" applyFont="1" applyFill="1" applyBorder="1"/>
    <xf numFmtId="4" fontId="16" fillId="0" borderId="6" xfId="0" applyNumberFormat="1" applyFont="1" applyFill="1" applyBorder="1"/>
    <xf numFmtId="10" fontId="16" fillId="0" borderId="25" xfId="0" applyNumberFormat="1" applyFont="1" applyFill="1" applyBorder="1"/>
    <xf numFmtId="10" fontId="16" fillId="0" borderId="27" xfId="0" applyNumberFormat="1" applyFont="1" applyFill="1" applyBorder="1"/>
    <xf numFmtId="4" fontId="16" fillId="0" borderId="12" xfId="0" applyNumberFormat="1" applyFont="1" applyFill="1" applyBorder="1"/>
    <xf numFmtId="4" fontId="16" fillId="0" borderId="0" xfId="0" applyNumberFormat="1" applyFont="1" applyFill="1" applyBorder="1"/>
    <xf numFmtId="4" fontId="16" fillId="0" borderId="30" xfId="0" applyNumberFormat="1" applyFont="1" applyFill="1" applyBorder="1"/>
    <xf numFmtId="10" fontId="16" fillId="0" borderId="12" xfId="0" applyNumberFormat="1" applyFont="1" applyFill="1" applyBorder="1"/>
    <xf numFmtId="10" fontId="16" fillId="0" borderId="10" xfId="0" applyNumberFormat="1" applyFont="1" applyFill="1" applyBorder="1"/>
    <xf numFmtId="4" fontId="16" fillId="0" borderId="29" xfId="0" applyNumberFormat="1" applyFont="1" applyFill="1" applyBorder="1"/>
    <xf numFmtId="4" fontId="0" fillId="0" borderId="68" xfId="0" applyNumberFormat="1" applyFill="1" applyBorder="1"/>
    <xf numFmtId="0" fontId="23" fillId="0" borderId="69" xfId="0" applyFont="1" applyFill="1" applyBorder="1"/>
    <xf numFmtId="4" fontId="0" fillId="0" borderId="70" xfId="0" applyNumberFormat="1" applyFill="1" applyBorder="1"/>
    <xf numFmtId="4" fontId="0" fillId="0" borderId="54" xfId="0" applyNumberFormat="1" applyFill="1" applyBorder="1"/>
    <xf numFmtId="10" fontId="10" fillId="0" borderId="15" xfId="0" applyNumberFormat="1" applyFont="1" applyFill="1" applyBorder="1"/>
    <xf numFmtId="10" fontId="10" fillId="0" borderId="16" xfId="0" applyNumberFormat="1" applyFont="1" applyFill="1" applyBorder="1"/>
    <xf numFmtId="10" fontId="10" fillId="0" borderId="17" xfId="0" applyNumberFormat="1" applyFont="1" applyFill="1" applyBorder="1"/>
    <xf numFmtId="0" fontId="0" fillId="0" borderId="69" xfId="0" applyNumberFormat="1" applyFill="1" applyBorder="1"/>
    <xf numFmtId="0" fontId="11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0" fillId="0" borderId="0" xfId="0" applyFill="1"/>
    <xf numFmtId="0" fontId="22" fillId="0" borderId="0" xfId="0" applyFont="1" applyFill="1" applyBorder="1"/>
    <xf numFmtId="0" fontId="44" fillId="0" borderId="0" xfId="0" applyFont="1" applyFill="1" applyBorder="1"/>
    <xf numFmtId="0" fontId="5" fillId="0" borderId="3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46" fillId="0" borderId="6" xfId="0" applyFont="1" applyBorder="1" applyProtection="1"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81" xfId="0" applyFont="1" applyBorder="1" applyAlignment="1" applyProtection="1">
      <alignment horizontal="center"/>
      <protection hidden="1"/>
    </xf>
    <xf numFmtId="0" fontId="1" fillId="0" borderId="81" xfId="0" applyFont="1" applyBorder="1" applyAlignment="1" applyProtection="1">
      <alignment horizontal="left"/>
      <protection hidden="1"/>
    </xf>
    <xf numFmtId="0" fontId="1" fillId="0" borderId="7" xfId="0" applyFont="1" applyBorder="1" applyAlignment="1" applyProtection="1">
      <alignment horizontal="left"/>
      <protection hidden="1"/>
    </xf>
    <xf numFmtId="0" fontId="1" fillId="0" borderId="12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82" xfId="0" applyFont="1" applyBorder="1" applyProtection="1">
      <protection hidden="1"/>
    </xf>
    <xf numFmtId="14" fontId="1" fillId="0" borderId="82" xfId="0" applyNumberFormat="1" applyFont="1" applyBorder="1" applyAlignment="1" applyProtection="1">
      <alignment horizontal="right"/>
      <protection hidden="1"/>
    </xf>
    <xf numFmtId="14" fontId="1" fillId="0" borderId="10" xfId="0" applyNumberFormat="1" applyFont="1" applyBorder="1" applyAlignment="1" applyProtection="1">
      <alignment horizontal="right"/>
      <protection hidden="1"/>
    </xf>
    <xf numFmtId="0" fontId="1" fillId="0" borderId="82" xfId="0" applyFont="1" applyBorder="1" applyAlignment="1" applyProtection="1">
      <alignment horizontal="center"/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36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17" xfId="0" applyFont="1" applyBorder="1" applyProtection="1"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horizontal="right" shrinkToFi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0" fillId="0" borderId="0" xfId="0" applyFill="1"/>
    <xf numFmtId="0" fontId="0" fillId="0" borderId="0" xfId="0" applyFill="1"/>
    <xf numFmtId="0" fontId="1" fillId="0" borderId="0" xfId="0" applyFont="1" applyFill="1" applyBorder="1" applyAlignment="1" applyProtection="1">
      <alignment vertical="top"/>
      <protection hidden="1"/>
    </xf>
    <xf numFmtId="0" fontId="0" fillId="0" borderId="0" xfId="0" applyFill="1"/>
    <xf numFmtId="4" fontId="1" fillId="0" borderId="67" xfId="0" applyNumberFormat="1" applyFont="1" applyFill="1" applyBorder="1"/>
    <xf numFmtId="4" fontId="1" fillId="0" borderId="24" xfId="0" applyNumberFormat="1" applyFont="1" applyFill="1" applyBorder="1" applyAlignment="1">
      <alignment horizontal="right"/>
    </xf>
    <xf numFmtId="4" fontId="1" fillId="0" borderId="60" xfId="0" applyNumberFormat="1" applyFont="1" applyFill="1" applyBorder="1"/>
    <xf numFmtId="4" fontId="1" fillId="0" borderId="13" xfId="0" applyNumberFormat="1" applyFont="1" applyFill="1" applyBorder="1" applyAlignment="1">
      <alignment horizontal="right"/>
    </xf>
    <xf numFmtId="4" fontId="1" fillId="0" borderId="35" xfId="0" quotePrefix="1" applyNumberFormat="1" applyFont="1" applyFill="1" applyBorder="1"/>
    <xf numFmtId="4" fontId="0" fillId="3" borderId="43" xfId="0" applyNumberFormat="1" applyFill="1" applyBorder="1" applyAlignment="1" applyProtection="1">
      <alignment horizontal="right"/>
      <protection hidden="1"/>
    </xf>
    <xf numFmtId="0" fontId="47" fillId="0" borderId="0" xfId="0" applyFont="1" applyFill="1"/>
    <xf numFmtId="0" fontId="48" fillId="0" borderId="0" xfId="0" applyFont="1" applyFill="1"/>
    <xf numFmtId="0" fontId="10" fillId="0" borderId="3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22" fillId="0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1" fillId="0" borderId="5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4" fontId="1" fillId="0" borderId="19" xfId="0" applyNumberFormat="1" applyFont="1" applyFill="1" applyBorder="1" applyAlignment="1">
      <alignment horizontal="right"/>
    </xf>
    <xf numFmtId="4" fontId="1" fillId="0" borderId="18" xfId="0" applyNumberFormat="1" applyFont="1" applyFill="1" applyBorder="1" applyAlignment="1">
      <alignment horizontal="right"/>
    </xf>
    <xf numFmtId="4" fontId="1" fillId="0" borderId="10" xfId="0" applyNumberFormat="1" applyFont="1" applyFill="1" applyBorder="1" applyAlignment="1">
      <alignment horizontal="right"/>
    </xf>
    <xf numFmtId="4" fontId="1" fillId="0" borderId="67" xfId="0" applyNumberFormat="1" applyFont="1" applyFill="1" applyBorder="1" applyAlignment="1">
      <alignment horizontal="right"/>
    </xf>
    <xf numFmtId="4" fontId="1" fillId="0" borderId="28" xfId="0" applyNumberFormat="1" applyFont="1" applyFill="1" applyBorder="1"/>
    <xf numFmtId="4" fontId="1" fillId="0" borderId="66" xfId="0" applyNumberFormat="1" applyFont="1" applyFill="1" applyBorder="1"/>
    <xf numFmtId="4" fontId="1" fillId="0" borderId="28" xfId="0" applyNumberFormat="1" applyFont="1" applyFill="1" applyBorder="1" applyAlignment="1">
      <alignment horizontal="left"/>
    </xf>
    <xf numFmtId="4" fontId="1" fillId="0" borderId="28" xfId="0" applyNumberFormat="1" applyFont="1" applyFill="1" applyBorder="1" applyAlignment="1">
      <alignment horizontal="right"/>
    </xf>
    <xf numFmtId="4" fontId="38" fillId="0" borderId="28" xfId="0" applyNumberFormat="1" applyFont="1" applyFill="1" applyBorder="1" applyAlignment="1">
      <alignment horizontal="right"/>
    </xf>
    <xf numFmtId="4" fontId="38" fillId="0" borderId="66" xfId="0" applyNumberFormat="1" applyFont="1" applyFill="1" applyBorder="1"/>
    <xf numFmtId="4" fontId="38" fillId="0" borderId="13" xfId="0" applyNumberFormat="1" applyFont="1" applyFill="1" applyBorder="1" applyAlignment="1">
      <alignment horizontal="right"/>
    </xf>
    <xf numFmtId="4" fontId="1" fillId="0" borderId="60" xfId="0" applyNumberFormat="1" applyFont="1" applyFill="1" applyBorder="1" applyAlignment="1"/>
    <xf numFmtId="4" fontId="1" fillId="0" borderId="31" xfId="0" applyNumberFormat="1" applyFont="1" applyFill="1" applyBorder="1"/>
    <xf numFmtId="4" fontId="1" fillId="0" borderId="55" xfId="0" applyNumberFormat="1" applyFont="1" applyFill="1" applyBorder="1" applyAlignment="1">
      <alignment horizontal="left"/>
    </xf>
    <xf numFmtId="4" fontId="1" fillId="0" borderId="71" xfId="0" applyNumberFormat="1" applyFont="1" applyFill="1" applyBorder="1"/>
    <xf numFmtId="4" fontId="1" fillId="0" borderId="10" xfId="0" applyNumberFormat="1" applyFont="1" applyFill="1" applyBorder="1"/>
    <xf numFmtId="4" fontId="1" fillId="0" borderId="13" xfId="0" applyNumberFormat="1" applyFont="1" applyFill="1" applyBorder="1" applyAlignment="1">
      <alignment horizontal="left"/>
    </xf>
    <xf numFmtId="2" fontId="1" fillId="0" borderId="67" xfId="0" applyNumberFormat="1" applyFont="1" applyFill="1" applyBorder="1"/>
    <xf numFmtId="2" fontId="1" fillId="0" borderId="66" xfId="0" applyNumberFormat="1" applyFont="1" applyFill="1" applyBorder="1"/>
    <xf numFmtId="2" fontId="1" fillId="0" borderId="60" xfId="0" applyNumberFormat="1" applyFont="1" applyFill="1" applyBorder="1"/>
    <xf numFmtId="4" fontId="1" fillId="0" borderId="55" xfId="0" applyNumberFormat="1" applyFont="1" applyFill="1" applyBorder="1" applyAlignment="1">
      <alignment horizontal="right"/>
    </xf>
    <xf numFmtId="2" fontId="1" fillId="0" borderId="71" xfId="0" applyNumberFormat="1" applyFont="1" applyFill="1" applyBorder="1"/>
    <xf numFmtId="0" fontId="1" fillId="0" borderId="60" xfId="0" applyFont="1" applyFill="1" applyBorder="1" applyAlignment="1">
      <alignment horizontal="left"/>
    </xf>
    <xf numFmtId="4" fontId="1" fillId="0" borderId="14" xfId="0" applyNumberFormat="1" applyFont="1" applyFill="1" applyBorder="1" applyAlignment="1">
      <alignment horizontal="right"/>
    </xf>
    <xf numFmtId="2" fontId="1" fillId="0" borderId="10" xfId="0" applyNumberFormat="1" applyFont="1" applyFill="1" applyBorder="1"/>
    <xf numFmtId="4" fontId="2" fillId="0" borderId="5" xfId="0" applyNumberFormat="1" applyFont="1" applyFill="1" applyBorder="1"/>
    <xf numFmtId="4" fontId="2" fillId="0" borderId="7" xfId="0" applyNumberFormat="1" applyFont="1" applyFill="1" applyBorder="1"/>
    <xf numFmtId="0" fontId="2" fillId="0" borderId="54" xfId="0" applyFont="1" applyFill="1" applyBorder="1" applyAlignment="1">
      <alignment horizontal="right"/>
    </xf>
    <xf numFmtId="4" fontId="2" fillId="0" borderId="17" xfId="0" applyNumberFormat="1" applyFont="1" applyFill="1" applyBorder="1"/>
    <xf numFmtId="4" fontId="2" fillId="0" borderId="3" xfId="0" applyNumberFormat="1" applyFont="1" applyFill="1" applyBorder="1"/>
    <xf numFmtId="4" fontId="2" fillId="0" borderId="6" xfId="0" applyNumberFormat="1" applyFont="1" applyFill="1" applyBorder="1"/>
    <xf numFmtId="0" fontId="9" fillId="0" borderId="6" xfId="0" applyFont="1" applyFill="1" applyBorder="1"/>
    <xf numFmtId="0" fontId="1" fillId="0" borderId="17" xfId="0" applyFont="1" applyFill="1" applyBorder="1" applyAlignment="1">
      <alignment horizontal="center" vertical="center"/>
    </xf>
    <xf numFmtId="4" fontId="23" fillId="0" borderId="7" xfId="0" applyNumberFormat="1" applyFont="1" applyFill="1" applyBorder="1"/>
    <xf numFmtId="4" fontId="23" fillId="0" borderId="10" xfId="0" applyNumberFormat="1" applyFont="1" applyFill="1" applyBorder="1"/>
    <xf numFmtId="4" fontId="23" fillId="0" borderId="31" xfId="0" applyNumberFormat="1" applyFont="1" applyFill="1" applyBorder="1"/>
    <xf numFmtId="4" fontId="0" fillId="3" borderId="37" xfId="0" applyNumberFormat="1" applyFill="1" applyBorder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4" fontId="0" fillId="0" borderId="0" xfId="0" applyNumberFormat="1" applyFill="1" applyProtection="1">
      <protection hidden="1"/>
    </xf>
    <xf numFmtId="10" fontId="0" fillId="0" borderId="0" xfId="0" applyNumberFormat="1" applyAlignment="1" applyProtection="1">
      <alignment horizontal="right" indent="4"/>
      <protection locked="0"/>
    </xf>
    <xf numFmtId="0" fontId="1" fillId="0" borderId="0" xfId="0" applyFont="1" applyFill="1" applyAlignment="1" applyProtection="1">
      <alignment vertical="top"/>
      <protection hidden="1"/>
    </xf>
    <xf numFmtId="0" fontId="23" fillId="0" borderId="0" xfId="0" applyFont="1" applyFill="1" applyBorder="1" applyAlignment="1" applyProtection="1">
      <alignment horizontal="left" indent="2"/>
      <protection hidden="1"/>
    </xf>
    <xf numFmtId="2" fontId="23" fillId="0" borderId="0" xfId="0" applyNumberFormat="1" applyFont="1" applyFill="1"/>
    <xf numFmtId="4" fontId="23" fillId="0" borderId="0" xfId="0" applyNumberFormat="1" applyFont="1" applyFill="1"/>
    <xf numFmtId="0" fontId="0" fillId="0" borderId="0" xfId="0" applyFill="1"/>
    <xf numFmtId="0" fontId="11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0" fillId="0" borderId="0" xfId="0" applyFill="1" applyAlignment="1"/>
    <xf numFmtId="0" fontId="0" fillId="0" borderId="0" xfId="0" applyFill="1"/>
    <xf numFmtId="4" fontId="1" fillId="0" borderId="43" xfId="0" applyNumberFormat="1" applyFont="1" applyFill="1" applyBorder="1" applyAlignment="1" applyProtection="1">
      <alignment shrinkToFit="1"/>
      <protection hidden="1"/>
    </xf>
    <xf numFmtId="4" fontId="1" fillId="0" borderId="84" xfId="0" applyNumberFormat="1" applyFont="1" applyFill="1" applyBorder="1" applyAlignment="1" applyProtection="1">
      <alignment shrinkToFit="1"/>
      <protection hidden="1"/>
    </xf>
    <xf numFmtId="4" fontId="1" fillId="0" borderId="45" xfId="0" applyNumberFormat="1" applyFont="1" applyFill="1" applyBorder="1" applyAlignment="1" applyProtection="1">
      <alignment shrinkToFit="1"/>
      <protection hidden="1"/>
    </xf>
    <xf numFmtId="4" fontId="1" fillId="0" borderId="46" xfId="0" applyNumberFormat="1" applyFont="1" applyFill="1" applyBorder="1" applyAlignment="1" applyProtection="1">
      <alignment shrinkToFit="1"/>
      <protection hidden="1"/>
    </xf>
    <xf numFmtId="0" fontId="0" fillId="0" borderId="39" xfId="0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shrinkToFit="1"/>
      <protection hidden="1"/>
    </xf>
    <xf numFmtId="4" fontId="1" fillId="0" borderId="83" xfId="0" applyNumberFormat="1" applyFont="1" applyFill="1" applyBorder="1" applyAlignment="1" applyProtection="1">
      <alignment shrinkToFit="1"/>
      <protection hidden="1"/>
    </xf>
    <xf numFmtId="0" fontId="5" fillId="0" borderId="85" xfId="0" applyFont="1" applyFill="1" applyBorder="1" applyProtection="1">
      <protection hidden="1"/>
    </xf>
    <xf numFmtId="0" fontId="0" fillId="0" borderId="86" xfId="0" applyFill="1" applyBorder="1" applyProtection="1">
      <protection hidden="1"/>
    </xf>
    <xf numFmtId="0" fontId="0" fillId="0" borderId="87" xfId="0" applyFill="1" applyBorder="1" applyProtection="1">
      <protection hidden="1"/>
    </xf>
    <xf numFmtId="0" fontId="9" fillId="0" borderId="88" xfId="0" applyFont="1" applyFill="1" applyBorder="1" applyProtection="1">
      <protection hidden="1"/>
    </xf>
    <xf numFmtId="0" fontId="9" fillId="0" borderId="89" xfId="0" applyFont="1" applyFill="1" applyBorder="1" applyProtection="1">
      <protection hidden="1"/>
    </xf>
    <xf numFmtId="4" fontId="0" fillId="0" borderId="0" xfId="0" applyNumberFormat="1" applyFill="1" applyBorder="1" applyAlignment="1">
      <alignment shrinkToFit="1"/>
    </xf>
    <xf numFmtId="0" fontId="0" fillId="0" borderId="0" xfId="0" applyFill="1"/>
    <xf numFmtId="0" fontId="8" fillId="0" borderId="72" xfId="0" applyFont="1" applyFill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3" fillId="0" borderId="74" xfId="0" applyFont="1" applyFill="1" applyBorder="1" applyAlignment="1">
      <alignment vertical="center"/>
    </xf>
    <xf numFmtId="0" fontId="0" fillId="0" borderId="75" xfId="0" applyBorder="1" applyAlignment="1">
      <alignment vertical="center"/>
    </xf>
    <xf numFmtId="0" fontId="8" fillId="0" borderId="72" xfId="0" applyFont="1" applyFill="1" applyBorder="1" applyAlignment="1">
      <alignment vertical="center" shrinkToFit="1"/>
    </xf>
    <xf numFmtId="0" fontId="8" fillId="0" borderId="73" xfId="0" applyFont="1" applyBorder="1" applyAlignment="1">
      <alignment vertical="center" shrinkToFit="1"/>
    </xf>
    <xf numFmtId="0" fontId="3" fillId="0" borderId="77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8" fillId="0" borderId="76" xfId="0" applyFont="1" applyBorder="1" applyAlignment="1">
      <alignment vertical="center"/>
    </xf>
    <xf numFmtId="0" fontId="45" fillId="0" borderId="0" xfId="0" applyFont="1" applyBorder="1" applyAlignment="1">
      <alignment wrapText="1"/>
    </xf>
    <xf numFmtId="0" fontId="44" fillId="0" borderId="0" xfId="0" applyFont="1" applyAlignment="1">
      <alignment wrapText="1"/>
    </xf>
    <xf numFmtId="0" fontId="10" fillId="0" borderId="6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/>
    </xf>
    <xf numFmtId="0" fontId="8" fillId="0" borderId="79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2" fillId="0" borderId="80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center" wrapText="1"/>
    </xf>
    <xf numFmtId="0" fontId="11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16" fillId="0" borderId="0" xfId="0" applyFont="1" applyFill="1" applyAlignment="1" applyProtection="1">
      <alignment horizontal="left" shrinkToFit="1"/>
      <protection hidden="1"/>
    </xf>
    <xf numFmtId="0" fontId="3" fillId="0" borderId="0" xfId="0" applyFont="1" applyFill="1" applyAlignment="1" applyProtection="1">
      <alignment shrinkToFit="1"/>
      <protection hidden="1"/>
    </xf>
    <xf numFmtId="0" fontId="1" fillId="0" borderId="64" xfId="0" applyFont="1" applyBorder="1" applyAlignment="1" applyProtection="1">
      <alignment vertical="justify"/>
      <protection hidden="1"/>
    </xf>
    <xf numFmtId="0" fontId="1" fillId="0" borderId="0" xfId="0" applyFont="1" applyAlignment="1" applyProtection="1">
      <alignment horizontal="right"/>
      <protection hidden="1"/>
    </xf>
    <xf numFmtId="0" fontId="16" fillId="0" borderId="0" xfId="0" applyFont="1" applyFill="1" applyBorder="1" applyAlignment="1" applyProtection="1">
      <alignment horizontal="justify" vertical="top" wrapText="1"/>
      <protection hidden="1"/>
    </xf>
    <xf numFmtId="0" fontId="16" fillId="0" borderId="0" xfId="0" applyFont="1" applyFill="1" applyAlignment="1">
      <alignment horizontal="justify" vertical="top" wrapText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>
      <alignment horizontal="right"/>
    </xf>
    <xf numFmtId="0" fontId="12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3" fillId="0" borderId="0" xfId="0" applyFont="1" applyFill="1" applyBorder="1" applyAlignment="1" applyProtection="1">
      <alignment vertical="top"/>
      <protection hidden="1"/>
    </xf>
    <xf numFmtId="0" fontId="3" fillId="0" borderId="0" xfId="0" applyFont="1" applyFill="1" applyAlignment="1" applyProtection="1">
      <alignment horizontal="left" vertical="center" shrinkToFit="1"/>
      <protection hidden="1"/>
    </xf>
    <xf numFmtId="0" fontId="3" fillId="0" borderId="0" xfId="0" applyFont="1" applyFill="1" applyBorder="1" applyAlignment="1" applyProtection="1">
      <alignment wrapText="1" shrinkToFit="1"/>
      <protection locked="0"/>
    </xf>
    <xf numFmtId="0" fontId="3" fillId="0" borderId="0" xfId="0" applyFont="1" applyFill="1" applyAlignment="1">
      <alignment wrapText="1" shrinkToFit="1"/>
    </xf>
    <xf numFmtId="0" fontId="11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Alignment="1"/>
    <xf numFmtId="0" fontId="3" fillId="0" borderId="0" xfId="0" applyFont="1" applyFill="1" applyAlignment="1" applyProtection="1">
      <alignment vertical="top" wrapText="1" shrinkToFit="1"/>
      <protection locked="0"/>
    </xf>
    <xf numFmtId="0" fontId="23" fillId="0" borderId="0" xfId="0" applyFont="1" applyFill="1" applyBorder="1" applyAlignment="1" applyProtection="1">
      <alignment horizontal="left"/>
      <protection hidden="1"/>
    </xf>
    <xf numFmtId="0" fontId="0" fillId="0" borderId="0" xfId="0" applyAlignment="1"/>
    <xf numFmtId="0" fontId="1" fillId="0" borderId="0" xfId="0" applyFont="1" applyFill="1" applyBorder="1" applyAlignment="1" applyProtection="1">
      <alignment horizontal="justify" vertical="top"/>
    </xf>
    <xf numFmtId="0" fontId="0" fillId="0" borderId="0" xfId="0" applyFill="1" applyAlignment="1">
      <alignment horizontal="justify" vertical="top"/>
    </xf>
    <xf numFmtId="0" fontId="23" fillId="0" borderId="0" xfId="0" applyFont="1" applyFill="1" applyBorder="1" applyAlignment="1" applyProtection="1">
      <alignment horizontal="left" wrapText="1"/>
      <protection hidden="1"/>
    </xf>
    <xf numFmtId="0" fontId="23" fillId="0" borderId="0" xfId="0" applyFont="1" applyAlignment="1"/>
    <xf numFmtId="0" fontId="3" fillId="0" borderId="0" xfId="0" applyFont="1" applyFill="1" applyBorder="1" applyAlignment="1" applyProtection="1">
      <alignment horizontal="justify" wrapText="1" shrinkToFit="1"/>
      <protection locked="0"/>
    </xf>
    <xf numFmtId="0" fontId="3" fillId="0" borderId="0" xfId="0" applyFont="1" applyFill="1" applyAlignment="1">
      <alignment horizontal="justify" wrapText="1" shrinkToFit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3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vertical="top" wrapText="1"/>
      <protection hidden="1"/>
    </xf>
    <xf numFmtId="0" fontId="23" fillId="0" borderId="0" xfId="0" applyFont="1" applyFill="1" applyBorder="1" applyAlignment="1" applyProtection="1">
      <alignment vertical="top" wrapText="1"/>
      <protection hidden="1"/>
    </xf>
    <xf numFmtId="0" fontId="23" fillId="0" borderId="0" xfId="0" applyFont="1" applyFill="1" applyBorder="1" applyAlignment="1" applyProtection="1">
      <alignment vertical="top"/>
      <protection hidden="1"/>
    </xf>
    <xf numFmtId="0" fontId="11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23" fillId="0" borderId="0" xfId="0" applyFont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wrapText="1" shrinkToFit="1"/>
      <protection locked="0"/>
    </xf>
    <xf numFmtId="0" fontId="23" fillId="0" borderId="0" xfId="0" applyFont="1" applyAlignment="1" applyProtection="1">
      <alignment vertical="top"/>
      <protection hidden="1"/>
    </xf>
    <xf numFmtId="0" fontId="1" fillId="0" borderId="0" xfId="0" applyFont="1" applyFill="1" applyAlignment="1">
      <alignment wrapText="1" shrinkToFit="1"/>
    </xf>
    <xf numFmtId="0" fontId="27" fillId="0" borderId="0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Alignment="1">
      <alignment vertical="top" wrapText="1" shrinkToFit="1"/>
    </xf>
    <xf numFmtId="2" fontId="1" fillId="0" borderId="0" xfId="0" applyNumberFormat="1" applyFont="1" applyFill="1" applyBorder="1" applyAlignment="1" applyProtection="1">
      <alignment horizontal="justify" vertical="top" wrapText="1" shrinkToFit="1"/>
      <protection locked="0"/>
    </xf>
    <xf numFmtId="2" fontId="3" fillId="0" borderId="0" xfId="0" applyNumberFormat="1" applyFont="1" applyFill="1" applyAlignment="1">
      <alignment horizontal="justify" vertical="top" wrapText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vertical="justify" wrapText="1"/>
      <protection hidden="1"/>
    </xf>
    <xf numFmtId="0" fontId="40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/>
    <xf numFmtId="0" fontId="1" fillId="0" borderId="0" xfId="0" applyFont="1" applyFill="1" applyAlignment="1" applyProtection="1">
      <alignment horizontal="left" vertical="center" shrinkToFit="1"/>
      <protection hidden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>
      <alignment horizontal="justify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theme="3" tint="-0.249977111117893"/>
  </sheetPr>
  <dimension ref="A1:R114"/>
  <sheetViews>
    <sheetView tabSelected="1" zoomScaleNormal="100" workbookViewId="0">
      <selection activeCell="B39" sqref="B39:B40"/>
    </sheetView>
  </sheetViews>
  <sheetFormatPr defaultRowHeight="12.75" x14ac:dyDescent="0.2"/>
  <cols>
    <col min="1" max="1" width="5.85546875" style="56" customWidth="1"/>
    <col min="2" max="2" width="43.42578125" style="56" customWidth="1"/>
    <col min="3" max="4" width="17.7109375" style="56" customWidth="1"/>
    <col min="5" max="6" width="15.7109375" style="56" customWidth="1"/>
    <col min="7" max="7" width="10.7109375" style="56" customWidth="1"/>
    <col min="8" max="9" width="11.7109375" style="56" customWidth="1"/>
    <col min="10" max="12" width="9.7109375" style="56" customWidth="1"/>
    <col min="13" max="13" width="11" style="56" customWidth="1"/>
    <col min="14" max="15" width="0" style="56" hidden="1" customWidth="1"/>
    <col min="16" max="16" width="11.28515625" style="56" hidden="1" customWidth="1"/>
    <col min="17" max="17" width="9.140625" style="56"/>
    <col min="18" max="18" width="11.7109375" style="56" bestFit="1" customWidth="1"/>
    <col min="19" max="16384" width="9.140625" style="56"/>
  </cols>
  <sheetData>
    <row r="1" spans="1:18" s="5" customFormat="1" ht="20.25" x14ac:dyDescent="0.3">
      <c r="A1" s="318" t="s">
        <v>36</v>
      </c>
      <c r="B1" s="4"/>
      <c r="C1" s="178"/>
      <c r="D1" s="178"/>
      <c r="E1" s="56"/>
      <c r="F1" s="56"/>
      <c r="G1" s="56"/>
      <c r="H1" s="56"/>
      <c r="I1" s="179"/>
      <c r="M1" s="179" t="s">
        <v>37</v>
      </c>
    </row>
    <row r="2" spans="1:18" s="5" customFormat="1" ht="15" x14ac:dyDescent="0.2">
      <c r="A2" s="180" t="s">
        <v>224</v>
      </c>
      <c r="B2" s="4"/>
      <c r="C2" s="178"/>
      <c r="D2" s="181"/>
      <c r="E2" s="56"/>
      <c r="F2" s="56"/>
      <c r="G2" s="56"/>
      <c r="H2" s="56"/>
      <c r="I2" s="56"/>
    </row>
    <row r="3" spans="1:18" s="5" customFormat="1" ht="15" x14ac:dyDescent="0.2">
      <c r="A3" s="180" t="s">
        <v>135</v>
      </c>
      <c r="B3" s="4"/>
      <c r="C3" s="178"/>
      <c r="D3" s="181"/>
      <c r="E3" s="56"/>
      <c r="F3" s="56"/>
      <c r="G3" s="56"/>
      <c r="H3" s="56"/>
      <c r="I3" s="56"/>
    </row>
    <row r="4" spans="1:18" s="5" customFormat="1" ht="30" customHeight="1" x14ac:dyDescent="0.2">
      <c r="A4" s="56"/>
      <c r="B4" s="4"/>
      <c r="C4" s="178"/>
      <c r="D4" s="178"/>
      <c r="E4" s="56"/>
      <c r="F4" s="56"/>
      <c r="G4" s="56"/>
      <c r="H4" s="56"/>
      <c r="I4" s="56"/>
    </row>
    <row r="5" spans="1:18" s="5" customFormat="1" ht="15.75" x14ac:dyDescent="0.25">
      <c r="A5" s="319" t="s">
        <v>287</v>
      </c>
      <c r="B5" s="4"/>
      <c r="C5" s="178"/>
      <c r="D5" s="178"/>
      <c r="E5" s="56"/>
      <c r="F5" s="56"/>
      <c r="G5" s="56"/>
      <c r="H5" s="56"/>
      <c r="I5" s="56"/>
    </row>
    <row r="6" spans="1:18" s="5" customFormat="1" ht="20.100000000000001" customHeight="1" thickBot="1" x14ac:dyDescent="0.25">
      <c r="A6" s="56"/>
      <c r="B6" s="4"/>
      <c r="C6" s="178"/>
      <c r="D6" s="178"/>
      <c r="E6" s="56"/>
      <c r="F6" s="56"/>
      <c r="G6" s="56"/>
      <c r="H6" s="56"/>
      <c r="I6" s="182"/>
      <c r="M6" s="251" t="s">
        <v>114</v>
      </c>
    </row>
    <row r="7" spans="1:18" s="5" customFormat="1" ht="32.1" customHeight="1" thickTop="1" x14ac:dyDescent="0.25">
      <c r="A7" s="183" t="s">
        <v>39</v>
      </c>
      <c r="B7" s="184" t="s">
        <v>40</v>
      </c>
      <c r="C7" s="185" t="s">
        <v>41</v>
      </c>
      <c r="D7" s="186"/>
      <c r="E7" s="187" t="s">
        <v>3</v>
      </c>
      <c r="F7" s="188" t="s">
        <v>4</v>
      </c>
      <c r="G7" s="189" t="s">
        <v>42</v>
      </c>
      <c r="H7" s="408" t="s">
        <v>43</v>
      </c>
      <c r="I7" s="409"/>
      <c r="J7" s="320" t="s">
        <v>44</v>
      </c>
      <c r="K7" s="321"/>
      <c r="L7" s="403" t="s">
        <v>45</v>
      </c>
      <c r="M7" s="190"/>
      <c r="O7" s="5" t="s">
        <v>38</v>
      </c>
    </row>
    <row r="8" spans="1:18" s="5" customFormat="1" ht="20.100000000000001" customHeight="1" thickBot="1" x14ac:dyDescent="0.3">
      <c r="A8" s="191"/>
      <c r="B8" s="192"/>
      <c r="C8" s="193"/>
      <c r="D8" s="194"/>
      <c r="E8" s="195"/>
      <c r="F8" s="196"/>
      <c r="G8" s="197"/>
      <c r="H8" s="325" t="s">
        <v>46</v>
      </c>
      <c r="I8" s="326" t="s">
        <v>47</v>
      </c>
      <c r="J8" s="198" t="s">
        <v>7</v>
      </c>
      <c r="K8" s="199" t="s">
        <v>6</v>
      </c>
      <c r="L8" s="404"/>
      <c r="M8" s="359" t="s">
        <v>48</v>
      </c>
    </row>
    <row r="9" spans="1:18" s="5" customFormat="1" ht="12.75" customHeight="1" thickTop="1" x14ac:dyDescent="0.2">
      <c r="A9" s="406">
        <v>1000</v>
      </c>
      <c r="B9" s="405" t="s">
        <v>226</v>
      </c>
      <c r="C9" s="6" t="s">
        <v>49</v>
      </c>
      <c r="D9" s="7" t="s">
        <v>50</v>
      </c>
      <c r="E9" s="8">
        <f>'1000'!G15</f>
        <v>9316261.1999999993</v>
      </c>
      <c r="F9" s="9">
        <f>'1000'!G17</f>
        <v>9377634.25</v>
      </c>
      <c r="G9" s="10">
        <v>0</v>
      </c>
      <c r="H9" s="327">
        <f>F9-E9-G9</f>
        <v>61373.050000000745</v>
      </c>
      <c r="I9" s="328">
        <v>0</v>
      </c>
      <c r="J9" s="257">
        <f>'1000'!G29</f>
        <v>46373.05</v>
      </c>
      <c r="K9" s="258">
        <f>'1000'!G28</f>
        <v>15000</v>
      </c>
      <c r="L9" s="12">
        <f>'1000'!G30</f>
        <v>0</v>
      </c>
      <c r="M9" s="360">
        <f>J9+K9</f>
        <v>61373.05</v>
      </c>
      <c r="O9" s="5" t="s">
        <v>275</v>
      </c>
      <c r="P9" s="5">
        <f>44-P10-P11</f>
        <v>37</v>
      </c>
      <c r="R9" s="254"/>
    </row>
    <row r="10" spans="1:18" s="5" customFormat="1" ht="12" customHeight="1" x14ac:dyDescent="0.2">
      <c r="A10" s="407"/>
      <c r="B10" s="392"/>
      <c r="C10" s="6"/>
      <c r="D10" s="33"/>
      <c r="E10" s="35"/>
      <c r="F10" s="31"/>
      <c r="G10" s="36"/>
      <c r="H10" s="315"/>
      <c r="I10" s="329"/>
      <c r="J10" s="259">
        <f>J9/M9</f>
        <v>0.75559304939220062</v>
      </c>
      <c r="K10" s="39">
        <f>K9/M9</f>
        <v>0.24440695060779935</v>
      </c>
      <c r="L10" s="38">
        <v>0</v>
      </c>
      <c r="M10" s="260">
        <f>J10+K10</f>
        <v>1</v>
      </c>
      <c r="O10" s="5" t="s">
        <v>273</v>
      </c>
      <c r="P10" s="5">
        <v>4</v>
      </c>
      <c r="R10" s="254"/>
    </row>
    <row r="11" spans="1:18" s="5" customFormat="1" ht="12" customHeight="1" x14ac:dyDescent="0.2">
      <c r="A11" s="393">
        <v>1001</v>
      </c>
      <c r="B11" s="391" t="s">
        <v>227</v>
      </c>
      <c r="C11" s="200" t="s">
        <v>51</v>
      </c>
      <c r="D11" s="51" t="s">
        <v>52</v>
      </c>
      <c r="E11" s="34">
        <f>'1001'!G15</f>
        <v>3071227.48</v>
      </c>
      <c r="F11" s="48">
        <f>'1001'!G17</f>
        <v>3071483.43</v>
      </c>
      <c r="G11" s="201">
        <v>0</v>
      </c>
      <c r="H11" s="313">
        <f>F11-E11-G11</f>
        <v>255.95000000018626</v>
      </c>
      <c r="I11" s="330">
        <v>0</v>
      </c>
      <c r="J11" s="261">
        <f>'1001'!G29</f>
        <v>255.95</v>
      </c>
      <c r="K11" s="262">
        <f>'1001'!G28</f>
        <v>0</v>
      </c>
      <c r="L11" s="19">
        <f>'1001'!G30</f>
        <v>0</v>
      </c>
      <c r="M11" s="361">
        <f>J11+K11</f>
        <v>255.95</v>
      </c>
      <c r="N11" s="256" t="s">
        <v>276</v>
      </c>
      <c r="O11" s="5" t="s">
        <v>274</v>
      </c>
      <c r="P11" s="5">
        <v>3</v>
      </c>
      <c r="R11" s="254"/>
    </row>
    <row r="12" spans="1:18" s="5" customFormat="1" ht="12" customHeight="1" x14ac:dyDescent="0.2">
      <c r="A12" s="394"/>
      <c r="B12" s="392"/>
      <c r="C12" s="202"/>
      <c r="D12" s="203"/>
      <c r="E12" s="204"/>
      <c r="F12" s="205"/>
      <c r="G12" s="205"/>
      <c r="H12" s="331"/>
      <c r="I12" s="332"/>
      <c r="J12" s="259">
        <f>J11/M11</f>
        <v>1</v>
      </c>
      <c r="K12" s="39">
        <f>K11/M11</f>
        <v>0</v>
      </c>
      <c r="L12" s="38">
        <v>0</v>
      </c>
      <c r="M12" s="260">
        <f>J12+K12</f>
        <v>1</v>
      </c>
      <c r="N12" s="41"/>
      <c r="R12" s="254"/>
    </row>
    <row r="13" spans="1:18" s="5" customFormat="1" ht="12" customHeight="1" x14ac:dyDescent="0.2">
      <c r="A13" s="393">
        <v>1010</v>
      </c>
      <c r="B13" s="391" t="s">
        <v>228</v>
      </c>
      <c r="C13" s="206" t="s">
        <v>54</v>
      </c>
      <c r="D13" s="51" t="s">
        <v>55</v>
      </c>
      <c r="E13" s="49">
        <f>'1010'!G15</f>
        <v>6789889.0899999999</v>
      </c>
      <c r="F13" s="47">
        <f>'1010'!G17</f>
        <v>6802764.21</v>
      </c>
      <c r="G13" s="201">
        <v>0</v>
      </c>
      <c r="H13" s="315">
        <f>F13-E13-G13</f>
        <v>12875.120000000112</v>
      </c>
      <c r="I13" s="314">
        <v>0</v>
      </c>
      <c r="J13" s="261">
        <f>'1010'!G29</f>
        <v>11875.12</v>
      </c>
      <c r="K13" s="262">
        <f>'1010'!G28</f>
        <v>1000</v>
      </c>
      <c r="L13" s="19">
        <v>0</v>
      </c>
      <c r="M13" s="361">
        <f>J13+K13+L13</f>
        <v>12875.12</v>
      </c>
      <c r="O13" s="5" t="s">
        <v>114</v>
      </c>
      <c r="R13" s="254"/>
    </row>
    <row r="14" spans="1:18" s="5" customFormat="1" ht="12" customHeight="1" x14ac:dyDescent="0.2">
      <c r="A14" s="394"/>
      <c r="B14" s="392"/>
      <c r="C14" s="207"/>
      <c r="D14" s="51"/>
      <c r="E14" s="208"/>
      <c r="F14" s="205"/>
      <c r="G14" s="209"/>
      <c r="H14" s="333"/>
      <c r="I14" s="314"/>
      <c r="J14" s="259">
        <f>J13/M13</f>
        <v>0.92233082099428976</v>
      </c>
      <c r="K14" s="39">
        <f>K13/M13</f>
        <v>7.7669179005710229E-2</v>
      </c>
      <c r="L14" s="38">
        <v>0</v>
      </c>
      <c r="M14" s="260">
        <f>J14+K14+L14</f>
        <v>1</v>
      </c>
      <c r="O14" s="5" t="s">
        <v>275</v>
      </c>
      <c r="P14" s="5">
        <f>44-P15-P16</f>
        <v>36</v>
      </c>
      <c r="R14" s="254"/>
    </row>
    <row r="15" spans="1:18" s="5" customFormat="1" ht="12" customHeight="1" x14ac:dyDescent="0.2">
      <c r="A15" s="393">
        <v>1012</v>
      </c>
      <c r="B15" s="391" t="s">
        <v>33</v>
      </c>
      <c r="C15" s="210" t="s">
        <v>136</v>
      </c>
      <c r="D15" s="45" t="s">
        <v>62</v>
      </c>
      <c r="E15" s="49">
        <f>'1012'!G15</f>
        <v>32448997.41</v>
      </c>
      <c r="F15" s="47">
        <f>'1012'!G17</f>
        <v>32484392.509999998</v>
      </c>
      <c r="G15" s="201">
        <v>0</v>
      </c>
      <c r="H15" s="315">
        <f>F15-E15-G15</f>
        <v>35395.099999997765</v>
      </c>
      <c r="I15" s="312">
        <v>0</v>
      </c>
      <c r="J15" s="261">
        <f>'1012'!G29</f>
        <v>25395.1</v>
      </c>
      <c r="K15" s="262">
        <f>'1012'!G28</f>
        <v>10000</v>
      </c>
      <c r="L15" s="19">
        <f>'1012'!G30</f>
        <v>0</v>
      </c>
      <c r="M15" s="361">
        <f t="shared" ref="M15:M20" si="0">J15+K15</f>
        <v>35395.1</v>
      </c>
      <c r="O15" s="5" t="s">
        <v>273</v>
      </c>
      <c r="P15" s="5">
        <v>4</v>
      </c>
      <c r="R15" s="254"/>
    </row>
    <row r="16" spans="1:18" s="5" customFormat="1" ht="12" customHeight="1" x14ac:dyDescent="0.2">
      <c r="A16" s="394"/>
      <c r="B16" s="392"/>
      <c r="C16" s="202"/>
      <c r="D16" s="211"/>
      <c r="E16" s="208"/>
      <c r="F16" s="205"/>
      <c r="G16" s="209"/>
      <c r="H16" s="334"/>
      <c r="I16" s="332"/>
      <c r="J16" s="259">
        <f>J15/M15</f>
        <v>0.71747501772844258</v>
      </c>
      <c r="K16" s="39">
        <f>K15/M15</f>
        <v>0.28252498227155737</v>
      </c>
      <c r="L16" s="38">
        <v>0</v>
      </c>
      <c r="M16" s="260">
        <f t="shared" si="0"/>
        <v>1</v>
      </c>
      <c r="O16" s="5" t="s">
        <v>274</v>
      </c>
      <c r="P16" s="5">
        <v>4</v>
      </c>
      <c r="R16" s="254"/>
    </row>
    <row r="17" spans="1:18" s="5" customFormat="1" ht="12" customHeight="1" x14ac:dyDescent="0.2">
      <c r="A17" s="393">
        <v>1013</v>
      </c>
      <c r="B17" s="395" t="s">
        <v>289</v>
      </c>
      <c r="C17" s="212" t="s">
        <v>290</v>
      </c>
      <c r="D17" s="51" t="s">
        <v>71</v>
      </c>
      <c r="E17" s="49">
        <f>'1013'!G15</f>
        <v>17484490.640000001</v>
      </c>
      <c r="F17" s="47">
        <f>'1013'!G17</f>
        <v>17711617.469999999</v>
      </c>
      <c r="G17" s="201">
        <v>0</v>
      </c>
      <c r="H17" s="315">
        <f>F17-E17-G17</f>
        <v>227126.82999999821</v>
      </c>
      <c r="I17" s="314">
        <v>0</v>
      </c>
      <c r="J17" s="261">
        <f>'1013'!G29</f>
        <v>207126.83</v>
      </c>
      <c r="K17" s="262">
        <f>'1013'!G28</f>
        <v>20000</v>
      </c>
      <c r="L17" s="19">
        <f>'1013'!G30</f>
        <v>0</v>
      </c>
      <c r="M17" s="361">
        <f t="shared" si="0"/>
        <v>227126.83</v>
      </c>
      <c r="R17" s="254"/>
    </row>
    <row r="18" spans="1:18" s="5" customFormat="1" ht="12" customHeight="1" x14ac:dyDescent="0.2">
      <c r="A18" s="394"/>
      <c r="B18" s="396"/>
      <c r="C18" s="212"/>
      <c r="D18" s="51" t="s">
        <v>72</v>
      </c>
      <c r="E18" s="208"/>
      <c r="F18" s="205"/>
      <c r="G18" s="209"/>
      <c r="H18" s="334"/>
      <c r="I18" s="314"/>
      <c r="J18" s="259">
        <f>J17/M17</f>
        <v>0.91194347228814843</v>
      </c>
      <c r="K18" s="39">
        <f>K17/M17</f>
        <v>8.8056527711851573E-2</v>
      </c>
      <c r="L18" s="38">
        <v>0</v>
      </c>
      <c r="M18" s="260">
        <f t="shared" si="0"/>
        <v>1</v>
      </c>
      <c r="R18" s="254"/>
    </row>
    <row r="19" spans="1:18" s="5" customFormat="1" ht="12" customHeight="1" x14ac:dyDescent="0.2">
      <c r="A19" s="393">
        <v>1014</v>
      </c>
      <c r="B19" s="391" t="s">
        <v>229</v>
      </c>
      <c r="C19" s="44" t="s">
        <v>61</v>
      </c>
      <c r="D19" s="45" t="s">
        <v>62</v>
      </c>
      <c r="E19" s="49">
        <f>'1014'!G15</f>
        <v>25575690.710000001</v>
      </c>
      <c r="F19" s="47">
        <f>'1014'!G17</f>
        <v>25700610.100000001</v>
      </c>
      <c r="G19" s="201">
        <v>0</v>
      </c>
      <c r="H19" s="315">
        <f>F19-E19-G19</f>
        <v>124919.3900000006</v>
      </c>
      <c r="I19" s="312">
        <v>0</v>
      </c>
      <c r="J19" s="261">
        <f>'1014'!G29</f>
        <v>104919.39</v>
      </c>
      <c r="K19" s="262">
        <f>'1014'!G28</f>
        <v>20000</v>
      </c>
      <c r="L19" s="19">
        <f>'1014'!G30</f>
        <v>0</v>
      </c>
      <c r="M19" s="361">
        <f t="shared" si="0"/>
        <v>124919.39</v>
      </c>
      <c r="R19" s="254"/>
    </row>
    <row r="20" spans="1:18" s="5" customFormat="1" ht="12" customHeight="1" x14ac:dyDescent="0.2">
      <c r="A20" s="394"/>
      <c r="B20" s="392"/>
      <c r="C20" s="213"/>
      <c r="D20" s="203"/>
      <c r="E20" s="208"/>
      <c r="F20" s="205"/>
      <c r="G20" s="209"/>
      <c r="H20" s="333"/>
      <c r="I20" s="314"/>
      <c r="J20" s="259">
        <f>J19/M19</f>
        <v>0.83989675261782815</v>
      </c>
      <c r="K20" s="39">
        <f>K19/M19</f>
        <v>0.16010324738217183</v>
      </c>
      <c r="L20" s="38">
        <v>0</v>
      </c>
      <c r="M20" s="260">
        <f t="shared" si="0"/>
        <v>1</v>
      </c>
      <c r="P20" s="5">
        <f>102+14+10</f>
        <v>126</v>
      </c>
      <c r="R20" s="254"/>
    </row>
    <row r="21" spans="1:18" s="5" customFormat="1" ht="12" customHeight="1" x14ac:dyDescent="0.2">
      <c r="A21" s="393">
        <v>1015</v>
      </c>
      <c r="B21" s="391" t="s">
        <v>25</v>
      </c>
      <c r="C21" s="214" t="s">
        <v>57</v>
      </c>
      <c r="D21" s="215" t="s">
        <v>58</v>
      </c>
      <c r="E21" s="49">
        <f>'1015'!G15</f>
        <v>23579130.870000001</v>
      </c>
      <c r="F21" s="47">
        <f>'1015'!G17</f>
        <v>23616939.68</v>
      </c>
      <c r="G21" s="201">
        <v>0</v>
      </c>
      <c r="H21" s="315">
        <f>F21-E21-G21</f>
        <v>37808.809999998659</v>
      </c>
      <c r="I21" s="312">
        <v>0</v>
      </c>
      <c r="J21" s="261">
        <f>'1015'!G29</f>
        <v>34027.81</v>
      </c>
      <c r="K21" s="262">
        <f>'1015'!G28</f>
        <v>3781</v>
      </c>
      <c r="L21" s="19">
        <f>'1015'!G30</f>
        <v>0</v>
      </c>
      <c r="M21" s="361">
        <f>J21+K21+L21</f>
        <v>37808.81</v>
      </c>
      <c r="P21" s="5">
        <f>101+14+11</f>
        <v>126</v>
      </c>
      <c r="R21" s="254"/>
    </row>
    <row r="22" spans="1:18" s="5" customFormat="1" ht="12" customHeight="1" x14ac:dyDescent="0.2">
      <c r="A22" s="394"/>
      <c r="B22" s="392"/>
      <c r="C22" s="214"/>
      <c r="D22" s="211" t="s">
        <v>59</v>
      </c>
      <c r="E22" s="208"/>
      <c r="F22" s="205"/>
      <c r="G22" s="209"/>
      <c r="H22" s="333"/>
      <c r="I22" s="314"/>
      <c r="J22" s="259">
        <f>J21/M21</f>
        <v>0.89999685258541595</v>
      </c>
      <c r="K22" s="39">
        <f>K21/M21</f>
        <v>0.10000314741458406</v>
      </c>
      <c r="L22" s="38">
        <f>L21/M21</f>
        <v>0</v>
      </c>
      <c r="M22" s="260">
        <f>J22+K22+L22</f>
        <v>1</v>
      </c>
      <c r="R22" s="254"/>
    </row>
    <row r="23" spans="1:18" s="5" customFormat="1" ht="12" customHeight="1" x14ac:dyDescent="0.2">
      <c r="A23" s="393">
        <v>1032</v>
      </c>
      <c r="B23" s="391" t="s">
        <v>230</v>
      </c>
      <c r="C23" s="200" t="s">
        <v>63</v>
      </c>
      <c r="D23" s="51" t="s">
        <v>56</v>
      </c>
      <c r="E23" s="49">
        <f>'1032'!G15</f>
        <v>9286872.1799999997</v>
      </c>
      <c r="F23" s="47">
        <f>'1032'!G17</f>
        <v>9288834.5700000003</v>
      </c>
      <c r="G23" s="201">
        <v>0</v>
      </c>
      <c r="H23" s="315">
        <f>F23-E23-G23</f>
        <v>1962.390000000596</v>
      </c>
      <c r="I23" s="312">
        <v>0</v>
      </c>
      <c r="J23" s="261">
        <f>'1032'!G31</f>
        <v>1962.39</v>
      </c>
      <c r="K23" s="262">
        <f>'1032'!G30</f>
        <v>0</v>
      </c>
      <c r="L23" s="19">
        <f>'1032'!G32</f>
        <v>0</v>
      </c>
      <c r="M23" s="361">
        <f>J23+K23+L23</f>
        <v>1962.39</v>
      </c>
      <c r="R23" s="254"/>
    </row>
    <row r="24" spans="1:18" s="5" customFormat="1" ht="12" customHeight="1" x14ac:dyDescent="0.2">
      <c r="A24" s="394"/>
      <c r="B24" s="392"/>
      <c r="C24" s="202"/>
      <c r="D24" s="203"/>
      <c r="E24" s="208"/>
      <c r="F24" s="205"/>
      <c r="G24" s="209"/>
      <c r="H24" s="333"/>
      <c r="I24" s="314"/>
      <c r="J24" s="259">
        <f>J23/M23</f>
        <v>1</v>
      </c>
      <c r="K24" s="39">
        <f>K23/M23</f>
        <v>0</v>
      </c>
      <c r="L24" s="38">
        <f>L23/M23</f>
        <v>0</v>
      </c>
      <c r="M24" s="260">
        <f>J24+K24+L24</f>
        <v>1</v>
      </c>
      <c r="R24" s="254"/>
    </row>
    <row r="25" spans="1:18" s="5" customFormat="1" ht="12" customHeight="1" x14ac:dyDescent="0.2">
      <c r="A25" s="393">
        <v>1033</v>
      </c>
      <c r="B25" s="391" t="s">
        <v>231</v>
      </c>
      <c r="C25" s="210" t="s">
        <v>64</v>
      </c>
      <c r="D25" s="51" t="s">
        <v>65</v>
      </c>
      <c r="E25" s="49">
        <f>'1033'!G15</f>
        <v>5277205.5199999996</v>
      </c>
      <c r="F25" s="47">
        <f>'1033'!G17</f>
        <v>5288722.34</v>
      </c>
      <c r="G25" s="201">
        <v>0</v>
      </c>
      <c r="H25" s="315">
        <f>F25-E25-G25</f>
        <v>11516.820000000298</v>
      </c>
      <c r="I25" s="312">
        <v>0</v>
      </c>
      <c r="J25" s="261">
        <f>'1033'!G29</f>
        <v>9516.82</v>
      </c>
      <c r="K25" s="262">
        <f>'1033'!G28</f>
        <v>2000</v>
      </c>
      <c r="L25" s="43">
        <f>'1033'!G30</f>
        <v>0</v>
      </c>
      <c r="M25" s="361">
        <f>J25+K25+L25</f>
        <v>11516.82</v>
      </c>
      <c r="R25" s="254"/>
    </row>
    <row r="26" spans="1:18" s="5" customFormat="1" ht="12" customHeight="1" x14ac:dyDescent="0.2">
      <c r="A26" s="394"/>
      <c r="B26" s="392"/>
      <c r="C26" s="214"/>
      <c r="D26" s="51"/>
      <c r="E26" s="208"/>
      <c r="F26" s="205"/>
      <c r="G26" s="209"/>
      <c r="H26" s="333"/>
      <c r="I26" s="332"/>
      <c r="J26" s="259">
        <f>J25/M25</f>
        <v>0.82634095175577982</v>
      </c>
      <c r="K26" s="39">
        <f>K25/M25</f>
        <v>0.17365904824422021</v>
      </c>
      <c r="L26" s="38">
        <f>L25/M25</f>
        <v>0</v>
      </c>
      <c r="M26" s="260">
        <f>J26+K26</f>
        <v>1</v>
      </c>
      <c r="R26" s="254"/>
    </row>
    <row r="27" spans="1:18" s="5" customFormat="1" ht="12" customHeight="1" x14ac:dyDescent="0.2">
      <c r="A27" s="393">
        <v>1034</v>
      </c>
      <c r="B27" s="395" t="s">
        <v>232</v>
      </c>
      <c r="C27" s="200" t="s">
        <v>66</v>
      </c>
      <c r="D27" s="45" t="s">
        <v>60</v>
      </c>
      <c r="E27" s="49">
        <f>'1034'!G15</f>
        <v>13988263.699999999</v>
      </c>
      <c r="F27" s="47">
        <f>'1034'!G17</f>
        <v>14022682.34</v>
      </c>
      <c r="G27" s="201">
        <v>0</v>
      </c>
      <c r="H27" s="315">
        <f>F27-E27-G27</f>
        <v>34418.640000000596</v>
      </c>
      <c r="I27" s="314">
        <v>0</v>
      </c>
      <c r="J27" s="261">
        <f>'1034'!G29</f>
        <v>29418.639999999999</v>
      </c>
      <c r="K27" s="262">
        <f>'1034'!G28</f>
        <v>5000</v>
      </c>
      <c r="L27" s="19">
        <f>'1034'!G30</f>
        <v>0</v>
      </c>
      <c r="M27" s="361">
        <f>J27+K27</f>
        <v>34418.639999999999</v>
      </c>
      <c r="R27" s="254"/>
    </row>
    <row r="28" spans="1:18" s="5" customFormat="1" ht="12" customHeight="1" x14ac:dyDescent="0.2">
      <c r="A28" s="394"/>
      <c r="B28" s="396"/>
      <c r="C28" s="202"/>
      <c r="D28" s="203"/>
      <c r="E28" s="208"/>
      <c r="F28" s="205"/>
      <c r="G28" s="209"/>
      <c r="H28" s="333"/>
      <c r="I28" s="332"/>
      <c r="J28" s="259">
        <f>J27/M27</f>
        <v>0.85472987892607033</v>
      </c>
      <c r="K28" s="39">
        <f>K27/M27</f>
        <v>0.1452701210739297</v>
      </c>
      <c r="L28" s="38">
        <f>L27/M27</f>
        <v>0</v>
      </c>
      <c r="M28" s="260">
        <f>J28+K28</f>
        <v>1</v>
      </c>
      <c r="R28" s="254"/>
    </row>
    <row r="29" spans="1:18" s="5" customFormat="1" ht="12" customHeight="1" x14ac:dyDescent="0.2">
      <c r="A29" s="393">
        <v>1100</v>
      </c>
      <c r="B29" s="391" t="s">
        <v>233</v>
      </c>
      <c r="C29" s="214" t="s">
        <v>67</v>
      </c>
      <c r="D29" s="51" t="s">
        <v>60</v>
      </c>
      <c r="E29" s="49">
        <f>'1100'!G15</f>
        <v>19074123.48</v>
      </c>
      <c r="F29" s="47">
        <f>'1100'!G17</f>
        <v>19074969.5</v>
      </c>
      <c r="G29" s="201">
        <f>'1100'!G21</f>
        <v>0</v>
      </c>
      <c r="H29" s="315">
        <f>F29-E29-G29</f>
        <v>846.01999999955297</v>
      </c>
      <c r="I29" s="314">
        <v>0</v>
      </c>
      <c r="J29" s="261">
        <f>'1100'!G29</f>
        <v>846.02</v>
      </c>
      <c r="K29" s="262">
        <f>'1100'!G28</f>
        <v>0</v>
      </c>
      <c r="L29" s="19">
        <f>'1100'!G30</f>
        <v>0</v>
      </c>
      <c r="M29" s="361">
        <f t="shared" ref="M29:M34" si="1">J29+K29+L29</f>
        <v>846.02</v>
      </c>
      <c r="R29" s="254"/>
    </row>
    <row r="30" spans="1:18" s="5" customFormat="1" ht="12" customHeight="1" x14ac:dyDescent="0.2">
      <c r="A30" s="394"/>
      <c r="B30" s="392"/>
      <c r="C30" s="213"/>
      <c r="D30" s="203"/>
      <c r="E30" s="49"/>
      <c r="F30" s="47"/>
      <c r="G30" s="205"/>
      <c r="H30" s="333"/>
      <c r="I30" s="332"/>
      <c r="J30" s="24">
        <f>J29/M29</f>
        <v>1</v>
      </c>
      <c r="K30" s="20">
        <f>K29/M29</f>
        <v>0</v>
      </c>
      <c r="L30" s="20">
        <f>L29/M29</f>
        <v>0</v>
      </c>
      <c r="M30" s="40">
        <f t="shared" si="1"/>
        <v>1</v>
      </c>
      <c r="R30" s="254"/>
    </row>
    <row r="31" spans="1:18" s="5" customFormat="1" ht="12" customHeight="1" x14ac:dyDescent="0.2">
      <c r="A31" s="393">
        <v>1101</v>
      </c>
      <c r="B31" s="391" t="s">
        <v>234</v>
      </c>
      <c r="C31" s="214" t="s">
        <v>68</v>
      </c>
      <c r="D31" s="51" t="s">
        <v>52</v>
      </c>
      <c r="E31" s="46">
        <f>'1101'!G15</f>
        <v>35541840.68</v>
      </c>
      <c r="F31" s="48">
        <f>'1101'!G17</f>
        <v>35678741.859999999</v>
      </c>
      <c r="G31" s="201">
        <v>0</v>
      </c>
      <c r="H31" s="315">
        <f>F31-E31-G31</f>
        <v>136901.1799999997</v>
      </c>
      <c r="I31" s="314">
        <v>0</v>
      </c>
      <c r="J31" s="42">
        <f>'1101'!G29</f>
        <v>131901.18</v>
      </c>
      <c r="K31" s="43">
        <f>'1101'!G28</f>
        <v>5000</v>
      </c>
      <c r="L31" s="43">
        <f>'1101'!G30</f>
        <v>0</v>
      </c>
      <c r="M31" s="361">
        <f t="shared" si="1"/>
        <v>136901.18</v>
      </c>
      <c r="R31" s="254"/>
    </row>
    <row r="32" spans="1:18" s="5" customFormat="1" ht="12" customHeight="1" x14ac:dyDescent="0.2">
      <c r="A32" s="394"/>
      <c r="B32" s="392"/>
      <c r="C32" s="213"/>
      <c r="D32" s="216"/>
      <c r="E32" s="208"/>
      <c r="F32" s="205"/>
      <c r="G32" s="209"/>
      <c r="H32" s="334"/>
      <c r="I32" s="332"/>
      <c r="J32" s="37">
        <f>J31/M31</f>
        <v>0.96347730530883668</v>
      </c>
      <c r="K32" s="38">
        <f>K31/M31</f>
        <v>3.6522694691163364E-2</v>
      </c>
      <c r="L32" s="38">
        <f>L31/M31</f>
        <v>0</v>
      </c>
      <c r="M32" s="40">
        <f t="shared" si="1"/>
        <v>1</v>
      </c>
      <c r="R32" s="254"/>
    </row>
    <row r="33" spans="1:18" s="5" customFormat="1" ht="12" customHeight="1" x14ac:dyDescent="0.2">
      <c r="A33" s="393">
        <v>1102</v>
      </c>
      <c r="B33" s="391" t="s">
        <v>235</v>
      </c>
      <c r="C33" s="217" t="s">
        <v>261</v>
      </c>
      <c r="D33" s="45" t="s">
        <v>69</v>
      </c>
      <c r="E33" s="46">
        <f>'1102'!G15</f>
        <v>52744640.269999996</v>
      </c>
      <c r="F33" s="48">
        <f>'1102'!G17</f>
        <v>52785536.630000003</v>
      </c>
      <c r="G33" s="48">
        <f>'1102'!G21</f>
        <v>15320</v>
      </c>
      <c r="H33" s="313">
        <f>F33-E33-G33</f>
        <v>25576.360000006855</v>
      </c>
      <c r="I33" s="312">
        <v>0</v>
      </c>
      <c r="J33" s="18">
        <f>'1102'!G29</f>
        <v>5576.36</v>
      </c>
      <c r="K33" s="19">
        <f>'1102'!G28</f>
        <v>20000</v>
      </c>
      <c r="L33" s="19">
        <f>'1102'!G30</f>
        <v>0</v>
      </c>
      <c r="M33" s="362">
        <f t="shared" si="1"/>
        <v>25576.36</v>
      </c>
      <c r="R33" s="254"/>
    </row>
    <row r="34" spans="1:18" s="5" customFormat="1" ht="12" customHeight="1" x14ac:dyDescent="0.2">
      <c r="A34" s="394"/>
      <c r="B34" s="392"/>
      <c r="C34" s="218"/>
      <c r="D34" s="216"/>
      <c r="E34" s="208"/>
      <c r="F34" s="205"/>
      <c r="G34" s="209"/>
      <c r="H34" s="334"/>
      <c r="I34" s="332"/>
      <c r="J34" s="37">
        <f>J33/M33</f>
        <v>0.21802789763672389</v>
      </c>
      <c r="K34" s="38">
        <f>K33/M33</f>
        <v>0.78197210236327608</v>
      </c>
      <c r="L34" s="38">
        <f>L33/M33</f>
        <v>0</v>
      </c>
      <c r="M34" s="40">
        <f t="shared" si="1"/>
        <v>1</v>
      </c>
      <c r="R34" s="254"/>
    </row>
    <row r="35" spans="1:18" s="5" customFormat="1" ht="12" customHeight="1" x14ac:dyDescent="0.2">
      <c r="A35" s="393">
        <v>1103</v>
      </c>
      <c r="B35" s="391" t="s">
        <v>236</v>
      </c>
      <c r="C35" s="217" t="s">
        <v>70</v>
      </c>
      <c r="D35" s="219" t="s">
        <v>71</v>
      </c>
      <c r="E35" s="46">
        <f>'1103'!G15</f>
        <v>61503708.079999998</v>
      </c>
      <c r="F35" s="48">
        <f>'1103'!G17</f>
        <v>62058389.25</v>
      </c>
      <c r="G35" s="316">
        <f>'1103'!G21</f>
        <v>72960</v>
      </c>
      <c r="H35" s="313">
        <f>F35-E35-G35</f>
        <v>481721.17000000179</v>
      </c>
      <c r="I35" s="312">
        <v>0</v>
      </c>
      <c r="J35" s="42">
        <f>'1103'!G29</f>
        <v>0</v>
      </c>
      <c r="K35" s="43">
        <f>'1103'!G28</f>
        <v>0</v>
      </c>
      <c r="L35" s="19">
        <f>'1103'!G30</f>
        <v>481721.17</v>
      </c>
      <c r="M35" s="362">
        <f>J35+K35+L35</f>
        <v>481721.17</v>
      </c>
      <c r="R35" s="254"/>
    </row>
    <row r="36" spans="1:18" s="5" customFormat="1" ht="12" customHeight="1" x14ac:dyDescent="0.2">
      <c r="A36" s="394"/>
      <c r="B36" s="392"/>
      <c r="C36" s="50"/>
      <c r="D36" s="220" t="s">
        <v>72</v>
      </c>
      <c r="E36" s="49"/>
      <c r="F36" s="47"/>
      <c r="G36" s="201"/>
      <c r="H36" s="335"/>
      <c r="I36" s="336"/>
      <c r="J36" s="37">
        <v>0</v>
      </c>
      <c r="K36" s="38">
        <v>0</v>
      </c>
      <c r="L36" s="38">
        <f>L35/M35</f>
        <v>1</v>
      </c>
      <c r="M36" s="40">
        <f>J36+K36+L36</f>
        <v>1</v>
      </c>
      <c r="R36" s="254"/>
    </row>
    <row r="37" spans="1:18" s="5" customFormat="1" ht="12" customHeight="1" x14ac:dyDescent="0.2">
      <c r="A37" s="393">
        <v>1104</v>
      </c>
      <c r="B37" s="391" t="s">
        <v>234</v>
      </c>
      <c r="C37" s="217" t="s">
        <v>73</v>
      </c>
      <c r="D37" s="45" t="s">
        <v>56</v>
      </c>
      <c r="E37" s="46">
        <f>'1104'!G15</f>
        <v>27062012.940000001</v>
      </c>
      <c r="F37" s="48">
        <f>'1104'!G17</f>
        <v>27081772.73</v>
      </c>
      <c r="G37" s="48">
        <v>0</v>
      </c>
      <c r="H37" s="315">
        <f>F37-E37-G37</f>
        <v>19759.789999999106</v>
      </c>
      <c r="I37" s="314">
        <v>0</v>
      </c>
      <c r="J37" s="18">
        <f>'1104'!G29</f>
        <v>15906.79</v>
      </c>
      <c r="K37" s="19">
        <f>'1104'!G28</f>
        <v>3853</v>
      </c>
      <c r="L37" s="19">
        <v>0</v>
      </c>
      <c r="M37" s="361">
        <f>J37+K37</f>
        <v>19759.79</v>
      </c>
      <c r="R37" s="254"/>
    </row>
    <row r="38" spans="1:18" s="5" customFormat="1" ht="12" customHeight="1" x14ac:dyDescent="0.2">
      <c r="A38" s="394"/>
      <c r="B38" s="392"/>
      <c r="C38" s="50"/>
      <c r="D38" s="51"/>
      <c r="E38" s="49"/>
      <c r="F38" s="47"/>
      <c r="G38" s="201"/>
      <c r="H38" s="337"/>
      <c r="I38" s="336"/>
      <c r="J38" s="37">
        <f>J37/M37</f>
        <v>0.80500804917461166</v>
      </c>
      <c r="K38" s="38">
        <f>K37/M37</f>
        <v>0.19499195082538831</v>
      </c>
      <c r="L38" s="38">
        <v>0</v>
      </c>
      <c r="M38" s="40">
        <f>J38+K38</f>
        <v>1</v>
      </c>
      <c r="R38" s="254"/>
    </row>
    <row r="39" spans="1:18" s="5" customFormat="1" ht="12" customHeight="1" x14ac:dyDescent="0.2">
      <c r="A39" s="393">
        <v>1105</v>
      </c>
      <c r="B39" s="391" t="s">
        <v>236</v>
      </c>
      <c r="C39" s="217" t="s">
        <v>74</v>
      </c>
      <c r="D39" s="221" t="s">
        <v>65</v>
      </c>
      <c r="E39" s="222">
        <f>'1105'!G15</f>
        <v>18562133.27</v>
      </c>
      <c r="F39" s="223">
        <f>'1105'!G17</f>
        <v>18661744.209999997</v>
      </c>
      <c r="G39" s="223">
        <v>0</v>
      </c>
      <c r="H39" s="313">
        <f>F39-E39-G39</f>
        <v>99610.939999997616</v>
      </c>
      <c r="I39" s="338">
        <v>0</v>
      </c>
      <c r="J39" s="52">
        <f>'1105'!G29</f>
        <v>84610.94</v>
      </c>
      <c r="K39" s="19">
        <f>'1105'!G28</f>
        <v>15000</v>
      </c>
      <c r="L39" s="19">
        <f>'1105'!G30</f>
        <v>0</v>
      </c>
      <c r="M39" s="361">
        <f>J39+K39</f>
        <v>99610.94</v>
      </c>
      <c r="R39" s="254"/>
    </row>
    <row r="40" spans="1:18" s="5" customFormat="1" ht="12" customHeight="1" x14ac:dyDescent="0.2">
      <c r="A40" s="394"/>
      <c r="B40" s="392"/>
      <c r="C40" s="50"/>
      <c r="D40" s="203"/>
      <c r="E40" s="204"/>
      <c r="F40" s="205"/>
      <c r="G40" s="205"/>
      <c r="H40" s="315"/>
      <c r="I40" s="332"/>
      <c r="J40" s="37">
        <f>J39/M39</f>
        <v>0.84941413061657689</v>
      </c>
      <c r="K40" s="38">
        <f>K39/M39</f>
        <v>0.15058586938342314</v>
      </c>
      <c r="L40" s="38">
        <v>0</v>
      </c>
      <c r="M40" s="40">
        <f>J40+K40</f>
        <v>1</v>
      </c>
      <c r="R40" s="254"/>
    </row>
    <row r="41" spans="1:18" s="5" customFormat="1" ht="12" customHeight="1" x14ac:dyDescent="0.2">
      <c r="A41" s="393">
        <v>1120</v>
      </c>
      <c r="B41" s="391" t="s">
        <v>34</v>
      </c>
      <c r="C41" s="217" t="s">
        <v>75</v>
      </c>
      <c r="D41" s="51" t="s">
        <v>52</v>
      </c>
      <c r="E41" s="49">
        <f>'1120'!G15</f>
        <v>29055340</v>
      </c>
      <c r="F41" s="47">
        <f>'1120'!G17</f>
        <v>29131094.620000001</v>
      </c>
      <c r="G41" s="201">
        <v>0</v>
      </c>
      <c r="H41" s="313">
        <f>F41-E41-G41</f>
        <v>75754.620000001043</v>
      </c>
      <c r="I41" s="314">
        <v>0</v>
      </c>
      <c r="J41" s="18">
        <f>'1120'!G29</f>
        <v>60754.62</v>
      </c>
      <c r="K41" s="19">
        <f>'1120'!G28</f>
        <v>15000</v>
      </c>
      <c r="L41" s="19">
        <v>0</v>
      </c>
      <c r="M41" s="361">
        <f>J41+K41+L41</f>
        <v>75754.62</v>
      </c>
      <c r="R41" s="254"/>
    </row>
    <row r="42" spans="1:18" s="5" customFormat="1" ht="12" customHeight="1" x14ac:dyDescent="0.2">
      <c r="A42" s="394"/>
      <c r="B42" s="392"/>
      <c r="C42" s="218"/>
      <c r="D42" s="216"/>
      <c r="E42" s="208"/>
      <c r="F42" s="205"/>
      <c r="G42" s="205"/>
      <c r="H42" s="334"/>
      <c r="I42" s="332"/>
      <c r="J42" s="37">
        <f>J41/M41</f>
        <v>0.80199227453058319</v>
      </c>
      <c r="K42" s="38">
        <f>K41/M41</f>
        <v>0.19800772546941692</v>
      </c>
      <c r="L42" s="38">
        <f>L41/M41</f>
        <v>0</v>
      </c>
      <c r="M42" s="40">
        <f>J42+K42+L42</f>
        <v>1</v>
      </c>
      <c r="R42" s="254"/>
    </row>
    <row r="43" spans="1:18" s="5" customFormat="1" ht="12" customHeight="1" x14ac:dyDescent="0.2">
      <c r="A43" s="393">
        <v>1121</v>
      </c>
      <c r="B43" s="391" t="s">
        <v>237</v>
      </c>
      <c r="C43" s="44" t="s">
        <v>76</v>
      </c>
      <c r="D43" s="45" t="s">
        <v>77</v>
      </c>
      <c r="E43" s="46">
        <f>'1121'!G15</f>
        <v>20516432.93</v>
      </c>
      <c r="F43" s="48">
        <f>'1121'!G17</f>
        <v>20957730.200000003</v>
      </c>
      <c r="G43" s="267">
        <f>'1121'!G21</f>
        <v>16810</v>
      </c>
      <c r="H43" s="313">
        <f>F43-E43-G43</f>
        <v>424487.27000000328</v>
      </c>
      <c r="I43" s="339">
        <v>0</v>
      </c>
      <c r="J43" s="42">
        <f>'1121'!G29</f>
        <v>394487.27</v>
      </c>
      <c r="K43" s="43">
        <f>'1121'!G28</f>
        <v>30000</v>
      </c>
      <c r="L43" s="43">
        <f>'1121'!G30</f>
        <v>0</v>
      </c>
      <c r="M43" s="362">
        <f>J43+K43+L43</f>
        <v>424487.27</v>
      </c>
      <c r="R43" s="254"/>
    </row>
    <row r="44" spans="1:18" s="5" customFormat="1" ht="9.75" customHeight="1" thickBot="1" x14ac:dyDescent="0.25">
      <c r="A44" s="399"/>
      <c r="B44" s="400"/>
      <c r="C44" s="268"/>
      <c r="D44" s="235"/>
      <c r="E44" s="269"/>
      <c r="F44" s="236"/>
      <c r="G44" s="270"/>
      <c r="H44" s="340"/>
      <c r="I44" s="341"/>
      <c r="J44" s="271">
        <f>J43/M43</f>
        <v>0.92932650253563553</v>
      </c>
      <c r="K44" s="272">
        <f>K43/M43</f>
        <v>7.0673497464364479E-2</v>
      </c>
      <c r="L44" s="272">
        <f>L43/M43</f>
        <v>0</v>
      </c>
      <c r="M44" s="273">
        <f>J44+K44+L44</f>
        <v>1</v>
      </c>
      <c r="R44" s="254"/>
    </row>
    <row r="45" spans="1:18" s="5" customFormat="1" ht="12" customHeight="1" thickTop="1" x14ac:dyDescent="0.2">
      <c r="A45" s="397">
        <v>1122</v>
      </c>
      <c r="B45" s="398" t="s">
        <v>291</v>
      </c>
      <c r="C45" s="206" t="s">
        <v>78</v>
      </c>
      <c r="D45" s="224" t="s">
        <v>65</v>
      </c>
      <c r="E45" s="49">
        <f>'1122'!G15</f>
        <v>33840071.880000003</v>
      </c>
      <c r="F45" s="47">
        <f>'1122'!G17</f>
        <v>34447121.759999998</v>
      </c>
      <c r="G45" s="47">
        <v>0</v>
      </c>
      <c r="H45" s="315">
        <f>F45-E45-G45</f>
        <v>607049.87999999523</v>
      </c>
      <c r="I45" s="342">
        <v>0</v>
      </c>
      <c r="J45" s="18">
        <f>'1122'!G29</f>
        <v>592049.88</v>
      </c>
      <c r="K45" s="19">
        <f>'1122'!G28</f>
        <v>15000</v>
      </c>
      <c r="L45" s="19">
        <f>'1122'!G30</f>
        <v>0</v>
      </c>
      <c r="M45" s="361">
        <f>J45+K45</f>
        <v>607049.88</v>
      </c>
      <c r="R45" s="254"/>
    </row>
    <row r="46" spans="1:18" s="5" customFormat="1" ht="12" customHeight="1" x14ac:dyDescent="0.2">
      <c r="A46" s="394"/>
      <c r="B46" s="392"/>
      <c r="C46" s="206"/>
      <c r="D46" s="51"/>
      <c r="E46" s="204"/>
      <c r="F46" s="47"/>
      <c r="G46" s="205"/>
      <c r="H46" s="315"/>
      <c r="I46" s="332"/>
      <c r="J46" s="37">
        <f>J45/M45</f>
        <v>0.97529033363782236</v>
      </c>
      <c r="K46" s="38">
        <f>K45/M45</f>
        <v>2.4709666362177685E-2</v>
      </c>
      <c r="L46" s="38">
        <v>0</v>
      </c>
      <c r="M46" s="40">
        <f>J46+K46</f>
        <v>1</v>
      </c>
      <c r="R46" s="254"/>
    </row>
    <row r="47" spans="1:18" s="5" customFormat="1" ht="12" customHeight="1" x14ac:dyDescent="0.2">
      <c r="A47" s="393">
        <v>1123</v>
      </c>
      <c r="B47" s="391" t="s">
        <v>238</v>
      </c>
      <c r="C47" s="200" t="s">
        <v>79</v>
      </c>
      <c r="D47" s="45" t="s">
        <v>80</v>
      </c>
      <c r="E47" s="49">
        <f>'1123'!G15</f>
        <v>49778469.889999993</v>
      </c>
      <c r="F47" s="48">
        <f>'1123'!G17</f>
        <v>49996297.310000002</v>
      </c>
      <c r="G47" s="201">
        <f>'1123'!H21</f>
        <v>0</v>
      </c>
      <c r="H47" s="313">
        <f>F47-E47-G47</f>
        <v>217827.42000000924</v>
      </c>
      <c r="I47" s="314">
        <v>0</v>
      </c>
      <c r="J47" s="18">
        <f>'1123'!G29</f>
        <v>0</v>
      </c>
      <c r="K47" s="19">
        <f>'1123'!G28</f>
        <v>0</v>
      </c>
      <c r="L47" s="19">
        <f>'1123'!G30</f>
        <v>217827.42</v>
      </c>
      <c r="M47" s="361">
        <f t="shared" ref="M47:M52" si="2">J47+K47+L47</f>
        <v>217827.42</v>
      </c>
      <c r="R47" s="254"/>
    </row>
    <row r="48" spans="1:18" s="5" customFormat="1" ht="12" customHeight="1" x14ac:dyDescent="0.2">
      <c r="A48" s="394"/>
      <c r="B48" s="392"/>
      <c r="C48" s="210"/>
      <c r="D48" s="203"/>
      <c r="E48" s="204"/>
      <c r="F48" s="47"/>
      <c r="G48" s="201"/>
      <c r="H48" s="343"/>
      <c r="I48" s="332"/>
      <c r="J48" s="37">
        <v>0</v>
      </c>
      <c r="K48" s="38">
        <v>0</v>
      </c>
      <c r="L48" s="38">
        <f>L47/M47</f>
        <v>1</v>
      </c>
      <c r="M48" s="40">
        <f t="shared" si="2"/>
        <v>1</v>
      </c>
      <c r="R48" s="254"/>
    </row>
    <row r="49" spans="1:18" s="5" customFormat="1" ht="12" customHeight="1" x14ac:dyDescent="0.2">
      <c r="A49" s="393">
        <v>1124</v>
      </c>
      <c r="B49" s="391" t="s">
        <v>239</v>
      </c>
      <c r="C49" s="44" t="s">
        <v>260</v>
      </c>
      <c r="D49" s="51" t="s">
        <v>82</v>
      </c>
      <c r="E49" s="49">
        <f>'1124'!G15</f>
        <v>6418766.5199999996</v>
      </c>
      <c r="F49" s="48">
        <f>'1124'!G17</f>
        <v>6440022.7699999996</v>
      </c>
      <c r="G49" s="48">
        <f>'1124'!G21</f>
        <v>0</v>
      </c>
      <c r="H49" s="313">
        <f>F49-E49-G49</f>
        <v>21256.25</v>
      </c>
      <c r="I49" s="314">
        <v>0</v>
      </c>
      <c r="J49" s="261">
        <f>'1124'!G29</f>
        <v>4251.25</v>
      </c>
      <c r="K49" s="262">
        <f>'1124'!G28</f>
        <v>17005</v>
      </c>
      <c r="L49" s="19">
        <f>'1124'!G30</f>
        <v>0</v>
      </c>
      <c r="M49" s="361">
        <f t="shared" si="2"/>
        <v>21256.25</v>
      </c>
      <c r="O49" s="255"/>
      <c r="R49" s="254"/>
    </row>
    <row r="50" spans="1:18" s="5" customFormat="1" ht="12" customHeight="1" x14ac:dyDescent="0.2">
      <c r="A50" s="394"/>
      <c r="B50" s="392"/>
      <c r="C50" s="210"/>
      <c r="D50" s="51"/>
      <c r="E50" s="204"/>
      <c r="F50" s="47"/>
      <c r="G50" s="201"/>
      <c r="H50" s="315"/>
      <c r="I50" s="332"/>
      <c r="J50" s="259">
        <f>J49/M49</f>
        <v>0.2</v>
      </c>
      <c r="K50" s="39">
        <f>K49/M49</f>
        <v>0.8</v>
      </c>
      <c r="L50" s="38">
        <v>0</v>
      </c>
      <c r="M50" s="260">
        <f t="shared" si="2"/>
        <v>1</v>
      </c>
      <c r="R50" s="254"/>
    </row>
    <row r="51" spans="1:18" s="5" customFormat="1" ht="12" customHeight="1" x14ac:dyDescent="0.2">
      <c r="A51" s="393">
        <v>1150</v>
      </c>
      <c r="B51" s="391" t="s">
        <v>240</v>
      </c>
      <c r="C51" s="225" t="s">
        <v>81</v>
      </c>
      <c r="D51" s="45" t="s">
        <v>69</v>
      </c>
      <c r="E51" s="49">
        <f>'1150'!G15</f>
        <v>27389936.309999999</v>
      </c>
      <c r="F51" s="48">
        <f>'1150'!G17</f>
        <v>27404259.619999997</v>
      </c>
      <c r="G51" s="48">
        <v>0</v>
      </c>
      <c r="H51" s="313">
        <f>F51-E51-G51</f>
        <v>14323.309999998659</v>
      </c>
      <c r="I51" s="342">
        <v>0</v>
      </c>
      <c r="J51" s="261">
        <f>'1150'!G29</f>
        <v>9323.31</v>
      </c>
      <c r="K51" s="262">
        <f>'1150'!G28</f>
        <v>5000</v>
      </c>
      <c r="L51" s="19">
        <f>'1150'!G30</f>
        <v>0</v>
      </c>
      <c r="M51" s="361">
        <f t="shared" si="2"/>
        <v>14323.31</v>
      </c>
      <c r="N51" s="18"/>
      <c r="R51" s="254"/>
    </row>
    <row r="52" spans="1:18" s="5" customFormat="1" ht="12" customHeight="1" x14ac:dyDescent="0.2">
      <c r="A52" s="394"/>
      <c r="B52" s="392"/>
      <c r="C52" s="226"/>
      <c r="D52" s="203"/>
      <c r="E52" s="204"/>
      <c r="F52" s="205"/>
      <c r="G52" s="201"/>
      <c r="H52" s="315"/>
      <c r="I52" s="332"/>
      <c r="J52" s="264">
        <f>J51/M51</f>
        <v>0.65091867731690511</v>
      </c>
      <c r="K52" s="32">
        <f>K51/M51</f>
        <v>0.34908132268309489</v>
      </c>
      <c r="L52" s="20">
        <v>0</v>
      </c>
      <c r="M52" s="265">
        <f t="shared" si="2"/>
        <v>1</v>
      </c>
      <c r="R52" s="254"/>
    </row>
    <row r="53" spans="1:18" s="5" customFormat="1" ht="12" customHeight="1" x14ac:dyDescent="0.2">
      <c r="A53" s="393">
        <v>1160</v>
      </c>
      <c r="B53" s="391" t="s">
        <v>262</v>
      </c>
      <c r="C53" s="214" t="s">
        <v>260</v>
      </c>
      <c r="D53" s="51" t="s">
        <v>82</v>
      </c>
      <c r="E53" s="49">
        <f>'1160'!G15</f>
        <v>58608811.060000002</v>
      </c>
      <c r="F53" s="47">
        <f>'1160'!G17</f>
        <v>59676294.380000003</v>
      </c>
      <c r="G53" s="48">
        <v>0</v>
      </c>
      <c r="H53" s="313">
        <f>F53-E53-G53</f>
        <v>1067483.3200000003</v>
      </c>
      <c r="I53" s="342">
        <v>0</v>
      </c>
      <c r="J53" s="266">
        <f>'1160'!G29</f>
        <v>1057483.32</v>
      </c>
      <c r="K53" s="263">
        <f>'1160'!G28</f>
        <v>10000</v>
      </c>
      <c r="L53" s="43">
        <f>'1160'!G30</f>
        <v>0</v>
      </c>
      <c r="M53" s="362">
        <f t="shared" ref="M53:M57" si="3">J53+K53</f>
        <v>1067483.32</v>
      </c>
      <c r="R53" s="254"/>
    </row>
    <row r="54" spans="1:18" s="5" customFormat="1" ht="12" customHeight="1" x14ac:dyDescent="0.2">
      <c r="A54" s="394"/>
      <c r="B54" s="392"/>
      <c r="C54" s="214"/>
      <c r="D54" s="51"/>
      <c r="E54" s="204"/>
      <c r="F54" s="205"/>
      <c r="G54" s="201"/>
      <c r="H54" s="315"/>
      <c r="I54" s="332"/>
      <c r="J54" s="264">
        <f>J53/M53</f>
        <v>0.99063217212611809</v>
      </c>
      <c r="K54" s="32">
        <f>K53/M53</f>
        <v>9.3678278738819065E-3</v>
      </c>
      <c r="L54" s="20">
        <v>0</v>
      </c>
      <c r="M54" s="265">
        <f t="shared" si="3"/>
        <v>1</v>
      </c>
      <c r="R54" s="254"/>
    </row>
    <row r="55" spans="1:18" s="5" customFormat="1" ht="12" customHeight="1" x14ac:dyDescent="0.2">
      <c r="A55" s="393">
        <v>1200</v>
      </c>
      <c r="B55" s="391" t="s">
        <v>270</v>
      </c>
      <c r="C55" s="44" t="s">
        <v>83</v>
      </c>
      <c r="D55" s="45" t="s">
        <v>60</v>
      </c>
      <c r="E55" s="46">
        <f>'1200'!G15</f>
        <v>18107393.52</v>
      </c>
      <c r="F55" s="48">
        <f>'1200'!G17</f>
        <v>18362927.709999997</v>
      </c>
      <c r="G55" s="48">
        <f>'1200'!G21</f>
        <v>0</v>
      </c>
      <c r="H55" s="313">
        <f>F55-E55-G55</f>
        <v>255534.18999999762</v>
      </c>
      <c r="I55" s="342">
        <v>0</v>
      </c>
      <c r="J55" s="266">
        <f>'1200'!G29</f>
        <v>205534.19</v>
      </c>
      <c r="K55" s="263">
        <f>'1200'!G28</f>
        <v>50000</v>
      </c>
      <c r="L55" s="43">
        <f>'1200'!G30</f>
        <v>0</v>
      </c>
      <c r="M55" s="362">
        <f t="shared" si="3"/>
        <v>255534.19</v>
      </c>
      <c r="R55" s="254"/>
    </row>
    <row r="56" spans="1:18" s="5" customFormat="1" ht="12" customHeight="1" x14ac:dyDescent="0.2">
      <c r="A56" s="394"/>
      <c r="B56" s="392"/>
      <c r="C56" s="214"/>
      <c r="D56" s="51"/>
      <c r="E56" s="49"/>
      <c r="F56" s="47"/>
      <c r="G56" s="205"/>
      <c r="H56" s="315"/>
      <c r="I56" s="342"/>
      <c r="J56" s="264">
        <f>J55/M55</f>
        <v>0.80433146734689398</v>
      </c>
      <c r="K56" s="32">
        <f>K55/M55</f>
        <v>0.19566853265310602</v>
      </c>
      <c r="L56" s="20">
        <v>0</v>
      </c>
      <c r="M56" s="265">
        <f t="shared" si="3"/>
        <v>1</v>
      </c>
      <c r="R56" s="254"/>
    </row>
    <row r="57" spans="1:18" s="5" customFormat="1" ht="12" customHeight="1" x14ac:dyDescent="0.2">
      <c r="A57" s="393">
        <v>1201</v>
      </c>
      <c r="B57" s="391" t="s">
        <v>241</v>
      </c>
      <c r="C57" s="44" t="s">
        <v>84</v>
      </c>
      <c r="D57" s="45" t="s">
        <v>85</v>
      </c>
      <c r="E57" s="46">
        <f>'1201'!G15</f>
        <v>29639205.129999999</v>
      </c>
      <c r="F57" s="48">
        <f>'1201'!G17</f>
        <v>29593899.440000001</v>
      </c>
      <c r="G57" s="201">
        <f>'1201'!G21</f>
        <v>29830</v>
      </c>
      <c r="H57" s="313">
        <v>0</v>
      </c>
      <c r="I57" s="312">
        <f>F57-E57-G57</f>
        <v>-75135.689999997616</v>
      </c>
      <c r="J57" s="266">
        <f>'1201'!G29</f>
        <v>0</v>
      </c>
      <c r="K57" s="263">
        <f>'1201'!G28</f>
        <v>0</v>
      </c>
      <c r="L57" s="43">
        <v>0</v>
      </c>
      <c r="M57" s="362">
        <f t="shared" si="3"/>
        <v>0</v>
      </c>
      <c r="R57" s="254"/>
    </row>
    <row r="58" spans="1:18" s="5" customFormat="1" ht="12" customHeight="1" x14ac:dyDescent="0.2">
      <c r="A58" s="394"/>
      <c r="B58" s="392"/>
      <c r="C58" s="213"/>
      <c r="D58" s="51"/>
      <c r="E58" s="49"/>
      <c r="F58" s="47"/>
      <c r="G58" s="201"/>
      <c r="H58" s="334"/>
      <c r="I58" s="342"/>
      <c r="J58" s="264">
        <v>0</v>
      </c>
      <c r="K58" s="32">
        <v>0</v>
      </c>
      <c r="L58" s="20">
        <v>0</v>
      </c>
      <c r="M58" s="265">
        <v>0</v>
      </c>
      <c r="R58" s="254"/>
    </row>
    <row r="59" spans="1:18" s="5" customFormat="1" ht="12" customHeight="1" x14ac:dyDescent="0.2">
      <c r="A59" s="393">
        <v>1202</v>
      </c>
      <c r="B59" s="391" t="s">
        <v>252</v>
      </c>
      <c r="C59" s="210" t="s">
        <v>253</v>
      </c>
      <c r="D59" s="45" t="s">
        <v>80</v>
      </c>
      <c r="E59" s="46">
        <f>'1202'!G15</f>
        <v>30486666.940000001</v>
      </c>
      <c r="F59" s="48">
        <f>'1202'!G17</f>
        <v>30720133.870000001</v>
      </c>
      <c r="G59" s="48">
        <v>0</v>
      </c>
      <c r="H59" s="315">
        <f>F59-E59-G59</f>
        <v>233466.9299999997</v>
      </c>
      <c r="I59" s="312">
        <v>0</v>
      </c>
      <c r="J59" s="266">
        <f>'1202'!G29</f>
        <v>103039.93</v>
      </c>
      <c r="K59" s="263">
        <f>'1202'!G28</f>
        <v>130427</v>
      </c>
      <c r="L59" s="43">
        <f>'1202'!G30</f>
        <v>0</v>
      </c>
      <c r="M59" s="362">
        <f t="shared" ref="M59:M70" si="4">J59+K59</f>
        <v>233466.93</v>
      </c>
      <c r="R59" s="254"/>
    </row>
    <row r="60" spans="1:18" s="5" customFormat="1" ht="12" customHeight="1" x14ac:dyDescent="0.2">
      <c r="A60" s="394"/>
      <c r="B60" s="392"/>
      <c r="C60" s="202"/>
      <c r="D60" s="203"/>
      <c r="E60" s="208"/>
      <c r="F60" s="205"/>
      <c r="G60" s="205"/>
      <c r="H60" s="333"/>
      <c r="I60" s="332"/>
      <c r="J60" s="259">
        <f>J59/M59</f>
        <v>0.44134700362059842</v>
      </c>
      <c r="K60" s="39">
        <f>K59/M59</f>
        <v>0.55865299637940158</v>
      </c>
      <c r="L60" s="38">
        <v>0</v>
      </c>
      <c r="M60" s="260">
        <f t="shared" si="4"/>
        <v>1</v>
      </c>
      <c r="R60" s="254"/>
    </row>
    <row r="61" spans="1:18" s="5" customFormat="1" ht="12" customHeight="1" x14ac:dyDescent="0.2">
      <c r="A61" s="393">
        <v>1204</v>
      </c>
      <c r="B61" s="391" t="s">
        <v>242</v>
      </c>
      <c r="C61" s="200" t="s">
        <v>86</v>
      </c>
      <c r="D61" s="45" t="s">
        <v>62</v>
      </c>
      <c r="E61" s="46">
        <f>'1204'!G15</f>
        <v>75808480.25</v>
      </c>
      <c r="F61" s="47">
        <f>'1204'!G17</f>
        <v>76171509.260000005</v>
      </c>
      <c r="G61" s="201">
        <f>'1204'!G21</f>
        <v>202200</v>
      </c>
      <c r="H61" s="313">
        <f>F61-E61-G61</f>
        <v>160829.01000000536</v>
      </c>
      <c r="I61" s="312">
        <v>0</v>
      </c>
      <c r="J61" s="42">
        <f>'1204'!G29</f>
        <v>140829.01</v>
      </c>
      <c r="K61" s="19">
        <f>'1204'!G28</f>
        <v>20000</v>
      </c>
      <c r="L61" s="43">
        <f>'1204'!G30</f>
        <v>0</v>
      </c>
      <c r="M61" s="361">
        <f t="shared" si="4"/>
        <v>160829.01</v>
      </c>
      <c r="R61" s="254"/>
    </row>
    <row r="62" spans="1:18" s="5" customFormat="1" ht="12" customHeight="1" x14ac:dyDescent="0.2">
      <c r="A62" s="394"/>
      <c r="B62" s="392"/>
      <c r="C62" s="202"/>
      <c r="D62" s="51"/>
      <c r="E62" s="204"/>
      <c r="F62" s="205"/>
      <c r="G62" s="205"/>
      <c r="H62" s="334"/>
      <c r="I62" s="332"/>
      <c r="J62" s="37">
        <f>J61/M61</f>
        <v>0.87564432561016203</v>
      </c>
      <c r="K62" s="20">
        <f>K61/M61</f>
        <v>0.12435567438983799</v>
      </c>
      <c r="L62" s="38">
        <v>0</v>
      </c>
      <c r="M62" s="40">
        <f t="shared" si="4"/>
        <v>1</v>
      </c>
      <c r="R62" s="254"/>
    </row>
    <row r="63" spans="1:18" s="5" customFormat="1" ht="12" customHeight="1" x14ac:dyDescent="0.2">
      <c r="A63" s="393">
        <v>1205</v>
      </c>
      <c r="B63" s="391" t="s">
        <v>243</v>
      </c>
      <c r="C63" s="214" t="s">
        <v>259</v>
      </c>
      <c r="D63" s="45" t="s">
        <v>62</v>
      </c>
      <c r="E63" s="49">
        <f>'1205'!G15</f>
        <v>24104198.920000002</v>
      </c>
      <c r="F63" s="47">
        <f>'1205'!G17</f>
        <v>24561388.59</v>
      </c>
      <c r="G63" s="201">
        <f>'1205'!G21</f>
        <v>0</v>
      </c>
      <c r="H63" s="315">
        <f>F63-E63-G63</f>
        <v>457189.66999999806</v>
      </c>
      <c r="I63" s="342">
        <v>0</v>
      </c>
      <c r="J63" s="18">
        <f>'1205'!G29</f>
        <v>432189.67</v>
      </c>
      <c r="K63" s="43">
        <f>'1205'!G28</f>
        <v>25000</v>
      </c>
      <c r="L63" s="19">
        <f>'1205'!G30</f>
        <v>0</v>
      </c>
      <c r="M63" s="361">
        <f t="shared" si="4"/>
        <v>457189.67</v>
      </c>
      <c r="R63" s="254"/>
    </row>
    <row r="64" spans="1:18" s="5" customFormat="1" ht="12" customHeight="1" x14ac:dyDescent="0.2">
      <c r="A64" s="394"/>
      <c r="B64" s="392"/>
      <c r="C64" s="213"/>
      <c r="D64" s="203"/>
      <c r="E64" s="204"/>
      <c r="F64" s="205"/>
      <c r="G64" s="205"/>
      <c r="H64" s="334"/>
      <c r="I64" s="332"/>
      <c r="J64" s="37">
        <f>J63/M63</f>
        <v>0.94531809959748214</v>
      </c>
      <c r="K64" s="38">
        <f>K63/M63</f>
        <v>5.4681900402517844E-2</v>
      </c>
      <c r="L64" s="38">
        <v>0</v>
      </c>
      <c r="M64" s="40">
        <f t="shared" si="4"/>
        <v>1</v>
      </c>
      <c r="R64" s="254"/>
    </row>
    <row r="65" spans="1:18" s="5" customFormat="1" ht="12" customHeight="1" x14ac:dyDescent="0.2">
      <c r="A65" s="393">
        <v>1206</v>
      </c>
      <c r="B65" s="391" t="s">
        <v>256</v>
      </c>
      <c r="C65" s="44" t="s">
        <v>87</v>
      </c>
      <c r="D65" s="45" t="s">
        <v>88</v>
      </c>
      <c r="E65" s="46">
        <f>'1206'!G15</f>
        <v>37090242.009999998</v>
      </c>
      <c r="F65" s="47">
        <f>'1206'!G17</f>
        <v>37090242.009999998</v>
      </c>
      <c r="G65" s="48">
        <v>0</v>
      </c>
      <c r="H65" s="313">
        <f>F65-E65-G65</f>
        <v>0</v>
      </c>
      <c r="I65" s="342">
        <v>0</v>
      </c>
      <c r="J65" s="42">
        <f>'1206'!G29</f>
        <v>0</v>
      </c>
      <c r="K65" s="43">
        <f>'1206'!G28</f>
        <v>0</v>
      </c>
      <c r="L65" s="43">
        <f>'1206'!G30</f>
        <v>0</v>
      </c>
      <c r="M65" s="362">
        <f t="shared" si="4"/>
        <v>0</v>
      </c>
      <c r="N65" s="256" t="s">
        <v>276</v>
      </c>
      <c r="R65" s="254"/>
    </row>
    <row r="66" spans="1:18" s="5" customFormat="1" ht="12" customHeight="1" x14ac:dyDescent="0.2">
      <c r="A66" s="394"/>
      <c r="B66" s="392"/>
      <c r="C66" s="213"/>
      <c r="D66" s="216"/>
      <c r="E66" s="49"/>
      <c r="F66" s="47"/>
      <c r="G66" s="205"/>
      <c r="H66" s="315"/>
      <c r="I66" s="332"/>
      <c r="J66" s="37">
        <v>0</v>
      </c>
      <c r="K66" s="20">
        <v>0</v>
      </c>
      <c r="L66" s="20">
        <v>0</v>
      </c>
      <c r="M66" s="15">
        <f t="shared" si="4"/>
        <v>0</v>
      </c>
      <c r="R66" s="254"/>
    </row>
    <row r="67" spans="1:18" s="5" customFormat="1" ht="12" customHeight="1" x14ac:dyDescent="0.2">
      <c r="A67" s="393">
        <v>1207</v>
      </c>
      <c r="B67" s="391" t="s">
        <v>244</v>
      </c>
      <c r="C67" s="50" t="s">
        <v>272</v>
      </c>
      <c r="D67" s="51" t="s">
        <v>52</v>
      </c>
      <c r="E67" s="46">
        <f>'1207'!G15</f>
        <v>35553121.940000005</v>
      </c>
      <c r="F67" s="48">
        <f>'1207'!G17</f>
        <v>35775268.229999997</v>
      </c>
      <c r="G67" s="201">
        <v>0</v>
      </c>
      <c r="H67" s="313">
        <f>F67-E67-G67</f>
        <v>222146.28999999166</v>
      </c>
      <c r="I67" s="342">
        <v>0</v>
      </c>
      <c r="J67" s="18">
        <f>'1207'!G29</f>
        <v>198146.29</v>
      </c>
      <c r="K67" s="43">
        <f>'1207'!G28</f>
        <v>24000</v>
      </c>
      <c r="L67" s="43">
        <v>0</v>
      </c>
      <c r="M67" s="362">
        <f t="shared" si="4"/>
        <v>222146.29</v>
      </c>
      <c r="R67" s="254"/>
    </row>
    <row r="68" spans="1:18" s="5" customFormat="1" ht="12" customHeight="1" x14ac:dyDescent="0.2">
      <c r="A68" s="394"/>
      <c r="B68" s="392"/>
      <c r="C68" s="218"/>
      <c r="D68" s="216"/>
      <c r="E68" s="49"/>
      <c r="F68" s="47"/>
      <c r="G68" s="201"/>
      <c r="H68" s="334"/>
      <c r="I68" s="342"/>
      <c r="J68" s="37">
        <f>J67/M67</f>
        <v>0.89196308432609883</v>
      </c>
      <c r="K68" s="38">
        <f>K67/M67</f>
        <v>0.1080369156739012</v>
      </c>
      <c r="L68" s="38">
        <v>0</v>
      </c>
      <c r="M68" s="40">
        <f t="shared" si="4"/>
        <v>1</v>
      </c>
      <c r="R68" s="254"/>
    </row>
    <row r="69" spans="1:18" s="5" customFormat="1" ht="12" customHeight="1" x14ac:dyDescent="0.2">
      <c r="A69" s="393">
        <v>1208</v>
      </c>
      <c r="B69" s="391" t="s">
        <v>35</v>
      </c>
      <c r="C69" s="50" t="s">
        <v>89</v>
      </c>
      <c r="D69" s="51" t="s">
        <v>56</v>
      </c>
      <c r="E69" s="46">
        <f>'1208'!G15</f>
        <v>30801178.68</v>
      </c>
      <c r="F69" s="48">
        <f>'1208'!G17</f>
        <v>30832105.5</v>
      </c>
      <c r="G69" s="48">
        <f>'1208'!G21</f>
        <v>0</v>
      </c>
      <c r="H69" s="315">
        <f>F69-E69-G69</f>
        <v>30926.820000000298</v>
      </c>
      <c r="I69" s="312">
        <v>0</v>
      </c>
      <c r="J69" s="18">
        <f>'1208'!G29</f>
        <v>18826.82</v>
      </c>
      <c r="K69" s="19">
        <f>'1208'!G28</f>
        <v>12100</v>
      </c>
      <c r="L69" s="19">
        <f>'1208'!G30</f>
        <v>0</v>
      </c>
      <c r="M69" s="361">
        <f t="shared" si="4"/>
        <v>30926.82</v>
      </c>
      <c r="R69" s="254"/>
    </row>
    <row r="70" spans="1:18" s="5" customFormat="1" ht="12" customHeight="1" x14ac:dyDescent="0.2">
      <c r="A70" s="394"/>
      <c r="B70" s="392"/>
      <c r="C70" s="218"/>
      <c r="D70" s="216"/>
      <c r="E70" s="49"/>
      <c r="F70" s="47"/>
      <c r="G70" s="205"/>
      <c r="H70" s="315"/>
      <c r="I70" s="342"/>
      <c r="J70" s="37">
        <f>J69/M69</f>
        <v>0.60875382596723493</v>
      </c>
      <c r="K70" s="38">
        <f>K69/M69</f>
        <v>0.39124617403276507</v>
      </c>
      <c r="L70" s="38">
        <v>0</v>
      </c>
      <c r="M70" s="40">
        <f t="shared" si="4"/>
        <v>1</v>
      </c>
      <c r="R70" s="254"/>
    </row>
    <row r="71" spans="1:18" s="5" customFormat="1" ht="12" customHeight="1" x14ac:dyDescent="0.2">
      <c r="A71" s="393">
        <v>1300</v>
      </c>
      <c r="B71" s="391" t="s">
        <v>245</v>
      </c>
      <c r="C71" s="227" t="s">
        <v>90</v>
      </c>
      <c r="D71" s="51" t="s">
        <v>62</v>
      </c>
      <c r="E71" s="46">
        <f>'1300'!G15</f>
        <v>15789812.66</v>
      </c>
      <c r="F71" s="48">
        <f>'1300'!G17</f>
        <v>15965663.779999999</v>
      </c>
      <c r="G71" s="201">
        <v>0</v>
      </c>
      <c r="H71" s="313">
        <f>F71-E71-G71</f>
        <v>175851.11999999918</v>
      </c>
      <c r="I71" s="312">
        <v>0</v>
      </c>
      <c r="J71" s="18">
        <f>'1300'!G29</f>
        <v>150851.12</v>
      </c>
      <c r="K71" s="19">
        <f>'1300'!G28</f>
        <v>25000</v>
      </c>
      <c r="L71" s="19">
        <f>'1300'!G30</f>
        <v>0</v>
      </c>
      <c r="M71" s="361">
        <f>J71+K71+L71</f>
        <v>175851.12</v>
      </c>
      <c r="R71" s="254"/>
    </row>
    <row r="72" spans="1:18" s="5" customFormat="1" ht="12" customHeight="1" x14ac:dyDescent="0.2">
      <c r="A72" s="394"/>
      <c r="B72" s="392"/>
      <c r="C72" s="218"/>
      <c r="D72" s="216"/>
      <c r="E72" s="49"/>
      <c r="F72" s="47"/>
      <c r="G72" s="201"/>
      <c r="H72" s="343"/>
      <c r="I72" s="342"/>
      <c r="J72" s="37">
        <f>J71/M71</f>
        <v>0.85783428618481361</v>
      </c>
      <c r="K72" s="38">
        <f>K71/M71</f>
        <v>0.14216571381518639</v>
      </c>
      <c r="L72" s="38">
        <f>L71/M71</f>
        <v>0</v>
      </c>
      <c r="M72" s="40">
        <f>J72+K72+L72</f>
        <v>1</v>
      </c>
      <c r="R72" s="254"/>
    </row>
    <row r="73" spans="1:18" s="5" customFormat="1" ht="12" customHeight="1" x14ac:dyDescent="0.2">
      <c r="A73" s="393">
        <v>1301</v>
      </c>
      <c r="B73" s="391" t="s">
        <v>246</v>
      </c>
      <c r="C73" s="50" t="s">
        <v>91</v>
      </c>
      <c r="D73" s="51" t="s">
        <v>52</v>
      </c>
      <c r="E73" s="46">
        <f>'1301'!G15</f>
        <v>31529838</v>
      </c>
      <c r="F73" s="48">
        <f>'1301'!G17</f>
        <v>31529838</v>
      </c>
      <c r="G73" s="48">
        <v>0</v>
      </c>
      <c r="H73" s="313">
        <f>F73-E73-G73</f>
        <v>0</v>
      </c>
      <c r="I73" s="312">
        <v>0</v>
      </c>
      <c r="J73" s="18">
        <f>'1301'!G29</f>
        <v>0</v>
      </c>
      <c r="K73" s="19">
        <f>'1301'!G28</f>
        <v>0</v>
      </c>
      <c r="L73" s="19">
        <f>'1301'!G30</f>
        <v>0</v>
      </c>
      <c r="M73" s="361">
        <f t="shared" ref="M73:M78" si="5">J73+K73</f>
        <v>0</v>
      </c>
      <c r="R73" s="254"/>
    </row>
    <row r="74" spans="1:18" s="5" customFormat="1" ht="12" customHeight="1" x14ac:dyDescent="0.2">
      <c r="A74" s="394"/>
      <c r="B74" s="392"/>
      <c r="C74" s="218"/>
      <c r="D74" s="216"/>
      <c r="E74" s="204"/>
      <c r="F74" s="47"/>
      <c r="G74" s="201"/>
      <c r="H74" s="315"/>
      <c r="I74" s="342"/>
      <c r="J74" s="37">
        <v>0</v>
      </c>
      <c r="K74" s="38">
        <v>0</v>
      </c>
      <c r="L74" s="38">
        <v>0</v>
      </c>
      <c r="M74" s="40">
        <f t="shared" si="5"/>
        <v>0</v>
      </c>
      <c r="R74" s="254"/>
    </row>
    <row r="75" spans="1:18" s="5" customFormat="1" ht="12" customHeight="1" x14ac:dyDescent="0.2">
      <c r="A75" s="393">
        <v>1302</v>
      </c>
      <c r="B75" s="395" t="s">
        <v>92</v>
      </c>
      <c r="C75" s="50" t="s">
        <v>93</v>
      </c>
      <c r="D75" s="51" t="s">
        <v>62</v>
      </c>
      <c r="E75" s="49">
        <f>'1302'!G15</f>
        <v>5807813.9100000001</v>
      </c>
      <c r="F75" s="48">
        <f>'1302'!G17</f>
        <v>6070848.5300000003</v>
      </c>
      <c r="G75" s="48">
        <v>0</v>
      </c>
      <c r="H75" s="313">
        <f>F75-E75-G75</f>
        <v>263034.62000000011</v>
      </c>
      <c r="I75" s="312">
        <v>0</v>
      </c>
      <c r="J75" s="18">
        <f>'1302'!G29</f>
        <v>243034.62</v>
      </c>
      <c r="K75" s="19">
        <f>'1302'!G28</f>
        <v>20000</v>
      </c>
      <c r="L75" s="19">
        <f>'1302'!G30</f>
        <v>0</v>
      </c>
      <c r="M75" s="361">
        <f t="shared" si="5"/>
        <v>263034.62</v>
      </c>
      <c r="R75" s="254"/>
    </row>
    <row r="76" spans="1:18" s="5" customFormat="1" ht="12" customHeight="1" x14ac:dyDescent="0.2">
      <c r="A76" s="394"/>
      <c r="B76" s="396"/>
      <c r="C76" s="218"/>
      <c r="D76" s="216"/>
      <c r="E76" s="49"/>
      <c r="F76" s="47"/>
      <c r="G76" s="201"/>
      <c r="H76" s="315"/>
      <c r="I76" s="332"/>
      <c r="J76" s="37">
        <f>J75/M75</f>
        <v>0.92396438157076055</v>
      </c>
      <c r="K76" s="38">
        <f>K75/M75</f>
        <v>7.6035618429239463E-2</v>
      </c>
      <c r="L76" s="38">
        <v>0</v>
      </c>
      <c r="M76" s="40">
        <f t="shared" si="5"/>
        <v>1</v>
      </c>
      <c r="R76" s="254"/>
    </row>
    <row r="77" spans="1:18" s="5" customFormat="1" ht="12" customHeight="1" x14ac:dyDescent="0.2">
      <c r="A77" s="393">
        <v>1303</v>
      </c>
      <c r="B77" s="391" t="s">
        <v>247</v>
      </c>
      <c r="C77" s="50" t="s">
        <v>94</v>
      </c>
      <c r="D77" s="51" t="s">
        <v>60</v>
      </c>
      <c r="E77" s="46">
        <f>'1303'!G15</f>
        <v>8615948</v>
      </c>
      <c r="F77" s="48">
        <f>'1303'!G17</f>
        <v>8644908.9199999999</v>
      </c>
      <c r="G77" s="48">
        <v>0</v>
      </c>
      <c r="H77" s="313">
        <f>F77-E77-G77</f>
        <v>28960.919999999925</v>
      </c>
      <c r="I77" s="314">
        <v>0</v>
      </c>
      <c r="J77" s="18">
        <f>'1303'!G29</f>
        <v>14960.92</v>
      </c>
      <c r="K77" s="19">
        <f>'1303'!G28</f>
        <v>14000</v>
      </c>
      <c r="L77" s="19">
        <f>'1303'!G30</f>
        <v>0</v>
      </c>
      <c r="M77" s="361">
        <f t="shared" si="5"/>
        <v>28960.92</v>
      </c>
      <c r="R77" s="254"/>
    </row>
    <row r="78" spans="1:18" s="5" customFormat="1" ht="12" customHeight="1" x14ac:dyDescent="0.2">
      <c r="A78" s="394"/>
      <c r="B78" s="392"/>
      <c r="C78" s="218"/>
      <c r="D78" s="216"/>
      <c r="E78" s="49"/>
      <c r="F78" s="205"/>
      <c r="G78" s="205"/>
      <c r="H78" s="315"/>
      <c r="I78" s="314"/>
      <c r="J78" s="37">
        <f>J77/M77</f>
        <v>0.51658994258469693</v>
      </c>
      <c r="K78" s="38">
        <f>K77/M77</f>
        <v>0.48341005741530313</v>
      </c>
      <c r="L78" s="38">
        <v>0</v>
      </c>
      <c r="M78" s="40">
        <f t="shared" si="5"/>
        <v>1</v>
      </c>
      <c r="R78" s="254"/>
    </row>
    <row r="79" spans="1:18" s="5" customFormat="1" ht="12" customHeight="1" x14ac:dyDescent="0.2">
      <c r="A79" s="393">
        <v>1304</v>
      </c>
      <c r="B79" s="391" t="s">
        <v>247</v>
      </c>
      <c r="C79" s="210" t="s">
        <v>257</v>
      </c>
      <c r="D79" s="224" t="s">
        <v>65</v>
      </c>
      <c r="E79" s="46">
        <f>'1304'!G15</f>
        <v>12528431.359999999</v>
      </c>
      <c r="F79" s="47">
        <f>'1304'!G17</f>
        <v>12583468.08</v>
      </c>
      <c r="G79" s="201">
        <v>0</v>
      </c>
      <c r="H79" s="313">
        <f>F79-E79-G79</f>
        <v>55036.720000000671</v>
      </c>
      <c r="I79" s="344">
        <v>0</v>
      </c>
      <c r="J79" s="18">
        <f>'1304'!G29</f>
        <v>45036.72</v>
      </c>
      <c r="K79" s="19">
        <f>'1304'!G28</f>
        <v>10000</v>
      </c>
      <c r="L79" s="19">
        <f>'1304'!G30</f>
        <v>0</v>
      </c>
      <c r="M79" s="361">
        <f t="shared" ref="M79:M88" si="6">J79+K79</f>
        <v>55036.72</v>
      </c>
      <c r="R79" s="254"/>
    </row>
    <row r="80" spans="1:18" s="5" customFormat="1" ht="12" customHeight="1" x14ac:dyDescent="0.2">
      <c r="A80" s="394"/>
      <c r="B80" s="392"/>
      <c r="C80" s="202"/>
      <c r="D80" s="216"/>
      <c r="E80" s="204"/>
      <c r="F80" s="47"/>
      <c r="G80" s="201"/>
      <c r="H80" s="334"/>
      <c r="I80" s="345"/>
      <c r="J80" s="37">
        <f>J79/M79</f>
        <v>0.81830312562231178</v>
      </c>
      <c r="K80" s="38">
        <f>K79/M79</f>
        <v>0.18169687437768819</v>
      </c>
      <c r="L80" s="38">
        <v>0</v>
      </c>
      <c r="M80" s="40">
        <f t="shared" si="6"/>
        <v>1</v>
      </c>
      <c r="R80" s="254"/>
    </row>
    <row r="81" spans="1:18" s="5" customFormat="1" ht="12" customHeight="1" x14ac:dyDescent="0.2">
      <c r="A81" s="393">
        <v>1316</v>
      </c>
      <c r="B81" s="391" t="s">
        <v>247</v>
      </c>
      <c r="C81" s="210" t="s">
        <v>95</v>
      </c>
      <c r="D81" s="51" t="s">
        <v>96</v>
      </c>
      <c r="E81" s="49">
        <f>'1316'!G15</f>
        <v>2709255.54</v>
      </c>
      <c r="F81" s="48">
        <f>'1316'!G17</f>
        <v>2764817.81</v>
      </c>
      <c r="G81" s="48">
        <v>0</v>
      </c>
      <c r="H81" s="315">
        <f>F81-E81-G81</f>
        <v>55562.270000000019</v>
      </c>
      <c r="I81" s="314">
        <v>0</v>
      </c>
      <c r="J81" s="18">
        <f>'1316'!G29</f>
        <v>0</v>
      </c>
      <c r="K81" s="19">
        <f>'1316'!G28</f>
        <v>0</v>
      </c>
      <c r="L81" s="19">
        <f>'1316'!G30</f>
        <v>55562.27</v>
      </c>
      <c r="M81" s="361">
        <f>J81+K81+L81</f>
        <v>55562.27</v>
      </c>
      <c r="R81" s="254"/>
    </row>
    <row r="82" spans="1:18" s="5" customFormat="1" ht="12" customHeight="1" x14ac:dyDescent="0.2">
      <c r="A82" s="394"/>
      <c r="B82" s="392"/>
      <c r="C82" s="202"/>
      <c r="D82" s="216"/>
      <c r="E82" s="204"/>
      <c r="F82" s="205"/>
      <c r="G82" s="201"/>
      <c r="H82" s="315"/>
      <c r="I82" s="346"/>
      <c r="J82" s="24">
        <v>0</v>
      </c>
      <c r="K82" s="38">
        <v>0</v>
      </c>
      <c r="L82" s="20">
        <f>L81/M81</f>
        <v>1</v>
      </c>
      <c r="M82" s="15">
        <f>J82+K82+L82</f>
        <v>1</v>
      </c>
      <c r="R82" s="254"/>
    </row>
    <row r="83" spans="1:18" s="5" customFormat="1" ht="12" customHeight="1" x14ac:dyDescent="0.2">
      <c r="A83" s="393">
        <v>1350</v>
      </c>
      <c r="B83" s="391" t="s">
        <v>248</v>
      </c>
      <c r="C83" s="210" t="s">
        <v>97</v>
      </c>
      <c r="D83" s="51" t="s">
        <v>98</v>
      </c>
      <c r="E83" s="49">
        <f>'1350'!G15</f>
        <v>24572759.629999999</v>
      </c>
      <c r="F83" s="47">
        <f>'1350'!G17</f>
        <v>24679433.690000001</v>
      </c>
      <c r="G83" s="48">
        <f>'1350'!G21</f>
        <v>0</v>
      </c>
      <c r="H83" s="313">
        <f>F83-E83-G83</f>
        <v>106674.06000000238</v>
      </c>
      <c r="I83" s="344">
        <v>0</v>
      </c>
      <c r="J83" s="42">
        <f>'1350'!G29</f>
        <v>105674.06</v>
      </c>
      <c r="K83" s="19">
        <f>'1350'!G28</f>
        <v>1000</v>
      </c>
      <c r="L83" s="43">
        <f>'1350'!G30</f>
        <v>0</v>
      </c>
      <c r="M83" s="362">
        <f t="shared" si="6"/>
        <v>106674.06</v>
      </c>
      <c r="R83" s="254"/>
    </row>
    <row r="84" spans="1:18" s="5" customFormat="1" ht="12" customHeight="1" x14ac:dyDescent="0.2">
      <c r="A84" s="394"/>
      <c r="B84" s="392"/>
      <c r="C84" s="202"/>
      <c r="D84" s="51"/>
      <c r="E84" s="49"/>
      <c r="F84" s="205"/>
      <c r="G84" s="201"/>
      <c r="H84" s="334"/>
      <c r="I84" s="345"/>
      <c r="J84" s="37">
        <f>J83/M83</f>
        <v>0.99062564975965106</v>
      </c>
      <c r="K84" s="20">
        <f>K83/M83</f>
        <v>9.3743502403489665E-3</v>
      </c>
      <c r="L84" s="38">
        <v>0</v>
      </c>
      <c r="M84" s="15">
        <f t="shared" si="6"/>
        <v>1</v>
      </c>
      <c r="R84" s="254"/>
    </row>
    <row r="85" spans="1:18" s="5" customFormat="1" ht="12" customHeight="1" x14ac:dyDescent="0.2">
      <c r="A85" s="393">
        <v>1351</v>
      </c>
      <c r="B85" s="391" t="s">
        <v>249</v>
      </c>
      <c r="C85" s="200" t="s">
        <v>99</v>
      </c>
      <c r="D85" s="45" t="s">
        <v>60</v>
      </c>
      <c r="E85" s="46">
        <f>'1351'!G15</f>
        <v>5587504.8599999994</v>
      </c>
      <c r="F85" s="48">
        <f>'1351'!G17</f>
        <v>5754513.8600000003</v>
      </c>
      <c r="G85" s="48">
        <v>0</v>
      </c>
      <c r="H85" s="313">
        <f>F85-E85-G85</f>
        <v>167009.00000000093</v>
      </c>
      <c r="I85" s="312">
        <v>0</v>
      </c>
      <c r="J85" s="42">
        <f>'1351'!G29</f>
        <v>162009</v>
      </c>
      <c r="K85" s="43">
        <f>'1351'!G28</f>
        <v>5000</v>
      </c>
      <c r="L85" s="43">
        <v>0</v>
      </c>
      <c r="M85" s="362">
        <f>J85+K85</f>
        <v>167009</v>
      </c>
      <c r="R85" s="254"/>
    </row>
    <row r="86" spans="1:18" s="5" customFormat="1" ht="12" customHeight="1" thickBot="1" x14ac:dyDescent="0.25">
      <c r="A86" s="399"/>
      <c r="B86" s="400"/>
      <c r="C86" s="274"/>
      <c r="D86" s="235"/>
      <c r="E86" s="242"/>
      <c r="F86" s="236"/>
      <c r="G86" s="270"/>
      <c r="H86" s="347"/>
      <c r="I86" s="348"/>
      <c r="J86" s="271">
        <f>J85/M85</f>
        <v>0.97006149369195671</v>
      </c>
      <c r="K86" s="272">
        <f>K85/M85</f>
        <v>2.9938506308043279E-2</v>
      </c>
      <c r="L86" s="272">
        <v>0</v>
      </c>
      <c r="M86" s="273">
        <f t="shared" si="6"/>
        <v>1</v>
      </c>
      <c r="R86" s="254"/>
    </row>
    <row r="87" spans="1:18" s="5" customFormat="1" ht="12" customHeight="1" thickTop="1" x14ac:dyDescent="0.2">
      <c r="A87" s="397">
        <v>1352</v>
      </c>
      <c r="B87" s="398" t="s">
        <v>250</v>
      </c>
      <c r="C87" s="210" t="s">
        <v>100</v>
      </c>
      <c r="D87" s="224" t="s">
        <v>65</v>
      </c>
      <c r="E87" s="233">
        <f>'1352'!G15</f>
        <v>6077456.2999999998</v>
      </c>
      <c r="F87" s="47">
        <f>'1352'!G17</f>
        <v>6165431.3999999994</v>
      </c>
      <c r="G87" s="47">
        <v>0</v>
      </c>
      <c r="H87" s="315">
        <f>F87-E87-G87</f>
        <v>87975.099999999627</v>
      </c>
      <c r="I87" s="346">
        <v>0</v>
      </c>
      <c r="J87" s="18">
        <f>'1352'!G29</f>
        <v>40975.1</v>
      </c>
      <c r="K87" s="19">
        <f>'1352'!G28</f>
        <v>47000</v>
      </c>
      <c r="L87" s="19">
        <f>'1352'!G30</f>
        <v>0</v>
      </c>
      <c r="M87" s="361">
        <f t="shared" si="6"/>
        <v>87975.1</v>
      </c>
      <c r="R87" s="254"/>
    </row>
    <row r="88" spans="1:18" s="5" customFormat="1" ht="12" customHeight="1" x14ac:dyDescent="0.2">
      <c r="A88" s="394"/>
      <c r="B88" s="392"/>
      <c r="C88" s="228"/>
      <c r="D88" s="228"/>
      <c r="E88" s="229"/>
      <c r="F88" s="230"/>
      <c r="G88" s="230"/>
      <c r="H88" s="343"/>
      <c r="I88" s="349"/>
      <c r="J88" s="37">
        <f>J87/M87</f>
        <v>0.46575792468550753</v>
      </c>
      <c r="K88" s="38">
        <f>K87/M87</f>
        <v>0.53424207531449242</v>
      </c>
      <c r="L88" s="38">
        <v>0</v>
      </c>
      <c r="M88" s="40">
        <f t="shared" si="6"/>
        <v>1</v>
      </c>
      <c r="R88" s="254"/>
    </row>
    <row r="89" spans="1:18" s="5" customFormat="1" ht="12" customHeight="1" x14ac:dyDescent="0.2">
      <c r="A89" s="393">
        <v>1400</v>
      </c>
      <c r="B89" s="391" t="s">
        <v>251</v>
      </c>
      <c r="C89" s="231" t="s">
        <v>101</v>
      </c>
      <c r="D89" s="45" t="s">
        <v>52</v>
      </c>
      <c r="E89" s="49">
        <f>'1400'!G15</f>
        <v>18760213.82</v>
      </c>
      <c r="F89" s="47">
        <f>'1400'!G17</f>
        <v>18829507.59</v>
      </c>
      <c r="G89" s="201">
        <v>0</v>
      </c>
      <c r="H89" s="313">
        <f>F89-E89-G89</f>
        <v>69293.769999999553</v>
      </c>
      <c r="I89" s="344">
        <v>0</v>
      </c>
      <c r="J89" s="18">
        <f>'1400'!G29</f>
        <v>67293.78</v>
      </c>
      <c r="K89" s="19">
        <f>'1400'!G28</f>
        <v>1999.99</v>
      </c>
      <c r="L89" s="19">
        <f>'1400'!G30</f>
        <v>0</v>
      </c>
      <c r="M89" s="361">
        <f t="shared" ref="M89:M94" si="7">J89+K89</f>
        <v>69293.77</v>
      </c>
      <c r="R89" s="254"/>
    </row>
    <row r="90" spans="1:18" s="5" customFormat="1" ht="12" customHeight="1" x14ac:dyDescent="0.2">
      <c r="A90" s="394"/>
      <c r="B90" s="392"/>
      <c r="C90" s="232"/>
      <c r="D90" s="203"/>
      <c r="E90" s="204"/>
      <c r="F90" s="205"/>
      <c r="G90" s="205"/>
      <c r="H90" s="334"/>
      <c r="I90" s="345"/>
      <c r="J90" s="37">
        <f>J89/M89</f>
        <v>0.97113752073238324</v>
      </c>
      <c r="K90" s="38">
        <f>K89/M89</f>
        <v>2.8862479267616696E-2</v>
      </c>
      <c r="L90" s="38">
        <v>0</v>
      </c>
      <c r="M90" s="40">
        <f t="shared" si="7"/>
        <v>0.99999999999999989</v>
      </c>
      <c r="R90" s="254"/>
    </row>
    <row r="91" spans="1:18" s="5" customFormat="1" ht="12" customHeight="1" x14ac:dyDescent="0.2">
      <c r="A91" s="393">
        <v>1420</v>
      </c>
      <c r="B91" s="391" t="s">
        <v>277</v>
      </c>
      <c r="C91" s="231" t="s">
        <v>70</v>
      </c>
      <c r="D91" s="45" t="s">
        <v>279</v>
      </c>
      <c r="E91" s="49">
        <f>'1420'!G15</f>
        <v>18080838.43</v>
      </c>
      <c r="F91" s="47">
        <f>'1420'!G17</f>
        <v>18239484.82</v>
      </c>
      <c r="G91" s="201">
        <f>'1420'!G21</f>
        <v>26410</v>
      </c>
      <c r="H91" s="313">
        <f>F91-E91-G91</f>
        <v>132236.3900000006</v>
      </c>
      <c r="I91" s="344">
        <v>0</v>
      </c>
      <c r="J91" s="18">
        <f>'1420'!G29</f>
        <v>126236.39</v>
      </c>
      <c r="K91" s="19">
        <f>'1420'!G28</f>
        <v>6000</v>
      </c>
      <c r="L91" s="19">
        <f>'1420'!G30</f>
        <v>0</v>
      </c>
      <c r="M91" s="361">
        <f t="shared" si="7"/>
        <v>132236.39000000001</v>
      </c>
      <c r="R91" s="254"/>
    </row>
    <row r="92" spans="1:18" s="5" customFormat="1" ht="12" customHeight="1" x14ac:dyDescent="0.2">
      <c r="A92" s="394"/>
      <c r="B92" s="392"/>
      <c r="C92" s="232"/>
      <c r="D92" s="203" t="s">
        <v>278</v>
      </c>
      <c r="E92" s="204"/>
      <c r="F92" s="205"/>
      <c r="G92" s="205"/>
      <c r="H92" s="334"/>
      <c r="I92" s="345"/>
      <c r="J92" s="37">
        <f>J91/M91</f>
        <v>0.95462671054465409</v>
      </c>
      <c r="K92" s="38">
        <f>K91/M91</f>
        <v>4.5373289455345835E-2</v>
      </c>
      <c r="L92" s="38">
        <v>0</v>
      </c>
      <c r="M92" s="40">
        <f t="shared" si="7"/>
        <v>0.99999999999999989</v>
      </c>
      <c r="R92" s="254"/>
    </row>
    <row r="93" spans="1:18" s="5" customFormat="1" ht="12" customHeight="1" x14ac:dyDescent="0.2">
      <c r="A93" s="393">
        <v>1450</v>
      </c>
      <c r="B93" s="391" t="s">
        <v>258</v>
      </c>
      <c r="C93" s="44" t="s">
        <v>101</v>
      </c>
      <c r="D93" s="51" t="s">
        <v>52</v>
      </c>
      <c r="E93" s="233">
        <f>'1450'!G15</f>
        <v>27091945.280000001</v>
      </c>
      <c r="F93" s="48">
        <f>'1450'!G17</f>
        <v>27219157.32</v>
      </c>
      <c r="G93" s="201">
        <v>0</v>
      </c>
      <c r="H93" s="315">
        <f>F93-E93-G93</f>
        <v>127212.03999999911</v>
      </c>
      <c r="I93" s="346">
        <v>0</v>
      </c>
      <c r="J93" s="18">
        <f>'1450'!G29</f>
        <v>102212.04</v>
      </c>
      <c r="K93" s="43">
        <f>'1450'!G28</f>
        <v>25000</v>
      </c>
      <c r="L93" s="43">
        <f>'1400'!G30</f>
        <v>0</v>
      </c>
      <c r="M93" s="362">
        <f t="shared" si="7"/>
        <v>127212.04</v>
      </c>
      <c r="R93" s="254"/>
    </row>
    <row r="94" spans="1:18" s="5" customFormat="1" ht="12" customHeight="1" thickBot="1" x14ac:dyDescent="0.25">
      <c r="A94" s="394"/>
      <c r="B94" s="392" t="s">
        <v>134</v>
      </c>
      <c r="C94" s="234"/>
      <c r="D94" s="235"/>
      <c r="E94" s="49"/>
      <c r="F94" s="236"/>
      <c r="G94" s="236"/>
      <c r="H94" s="350"/>
      <c r="I94" s="351"/>
      <c r="J94" s="13">
        <f>J93/M93</f>
        <v>0.803477721133943</v>
      </c>
      <c r="K94" s="14">
        <f>K93/M93</f>
        <v>0.19652227886605703</v>
      </c>
      <c r="L94" s="14">
        <v>0</v>
      </c>
      <c r="M94" s="16">
        <f t="shared" si="7"/>
        <v>1</v>
      </c>
      <c r="R94" s="254"/>
    </row>
    <row r="95" spans="1:18" s="5" customFormat="1" ht="18" customHeight="1" thickTop="1" x14ac:dyDescent="0.25">
      <c r="A95" s="237" t="s">
        <v>23</v>
      </c>
      <c r="B95" s="358"/>
      <c r="C95" s="238"/>
      <c r="D95" s="238"/>
      <c r="E95" s="356">
        <f>SUM(E9:E93)</f>
        <v>1045656621.2899997</v>
      </c>
      <c r="F95" s="357">
        <f>SUM(F9:F93)</f>
        <v>1052314204.1500002</v>
      </c>
      <c r="G95" s="357">
        <f>SUM(G9:G93)</f>
        <v>363530</v>
      </c>
      <c r="H95" s="352">
        <f>SUM(H9:H94)</f>
        <v>6369188.5500000054</v>
      </c>
      <c r="I95" s="353">
        <f>I9+I11+I13+I15+I17+I19+I21+I23+I25+I35+I27+I29+I31+I33+I37+I39+I41+I43+I45+I47+I49+I51+I53+I55+I57+I59+I61+I63+I65+I67+I69+I71+I73+I75+I77+I79+I81+I83+I85+I87+I89+I91+I93</f>
        <v>-75135.689999997616</v>
      </c>
      <c r="J95" s="11">
        <f>J9+J11+J13+J15+J17+J19+J21+J23+J25+J27+J29+J31+J33+J35+J37+J39+J41+J43+J45+J47+J49+J51+J53+J55+J57+J59+J61+J63+J65+J67+J69+J71+J73+J75+J77+J79+J81+J83+J85+J87+J89+J91+J93</f>
        <v>4984911.6999999983</v>
      </c>
      <c r="K95" s="12">
        <f>K9+K11+K13+K15+K17+K19+K21+K23+K25+K27+K29+K31+K33+K35+K37+K39+K41+K43+K45+K47+K49+K51+K53+K55+K57+K59+K61+K63+K65+K67+K69+K71+K73+K75+K77+K79+K81+K83+K85+K87+K89+K91+K93</f>
        <v>629165.99</v>
      </c>
      <c r="L95" s="12">
        <f>L9+L11+L13+L15+L17+L19+L21+L23+L25+L27+L29+L31+L33+L35+L37+L39+L41+L43+L45+L47+L49+L51+L53+L55+L57+L59+L61+L63+L65+L67+L69+L71+L73+L75+L77+L79+L81+L83+L85+L87+L89+L91+L93</f>
        <v>755110.86</v>
      </c>
      <c r="M95" s="360">
        <f>M9+M11+M13+M15+M17+M19+M21+M23+M25+M27+M29+M31+M33+M35+M37+M39+M41+M43+M45+M47+M49+M51+M53+M55+M57+M59+M61+M63+M65+M67+M69+M71+M73+M75+M77+M79+M81+M83+M85+M87+M89+M91+M93</f>
        <v>6369188.549999998</v>
      </c>
      <c r="N95" s="253">
        <f>F95-E95-G95</f>
        <v>6294052.8600004911</v>
      </c>
      <c r="R95" s="254"/>
    </row>
    <row r="96" spans="1:18" s="5" customFormat="1" ht="18.75" thickBot="1" x14ac:dyDescent="0.3">
      <c r="A96" s="239"/>
      <c r="B96" s="240"/>
      <c r="C96" s="241"/>
      <c r="D96" s="241"/>
      <c r="E96" s="242"/>
      <c r="F96" s="243"/>
      <c r="G96" s="243"/>
      <c r="H96" s="354" t="s">
        <v>102</v>
      </c>
      <c r="I96" s="355">
        <f>F95-E95-G95</f>
        <v>6294052.8600004911</v>
      </c>
      <c r="J96" s="21"/>
      <c r="K96" s="22"/>
      <c r="L96" s="22"/>
      <c r="M96" s="23"/>
      <c r="N96" s="254">
        <f>H95+I95</f>
        <v>6294052.8600000078</v>
      </c>
      <c r="O96" s="254"/>
    </row>
    <row r="97" spans="1:18" s="5" customFormat="1" ht="17.25" customHeight="1" thickTop="1" x14ac:dyDescent="0.2">
      <c r="A97" s="252"/>
      <c r="B97" s="4"/>
      <c r="C97" s="234"/>
      <c r="D97" s="234"/>
      <c r="E97" s="245"/>
      <c r="F97" s="17"/>
      <c r="G97" s="17"/>
      <c r="H97" s="19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2">
      <c r="G98" s="246"/>
    </row>
    <row r="100" spans="1:18" s="5" customFormat="1" ht="15" x14ac:dyDescent="0.2">
      <c r="A100" s="279" t="s">
        <v>306</v>
      </c>
      <c r="B100" s="279"/>
      <c r="C100" s="279"/>
      <c r="D100" s="279"/>
      <c r="E100" s="322"/>
      <c r="F100" s="322"/>
      <c r="G100" s="322"/>
      <c r="H100" s="56"/>
      <c r="I100" s="56"/>
      <c r="L100" s="389"/>
    </row>
    <row r="101" spans="1:18" s="5" customFormat="1" ht="15" x14ac:dyDescent="0.2">
      <c r="A101" s="279"/>
      <c r="B101" s="279"/>
      <c r="C101" s="279" t="s">
        <v>307</v>
      </c>
      <c r="D101" s="323"/>
      <c r="E101" s="324"/>
      <c r="F101" s="324"/>
      <c r="G101" s="324"/>
      <c r="H101" s="56"/>
      <c r="I101" s="56"/>
    </row>
    <row r="102" spans="1:18" s="5" customFormat="1" ht="15" x14ac:dyDescent="0.2">
      <c r="A102" s="279"/>
      <c r="B102" s="279"/>
      <c r="C102" s="279" t="s">
        <v>309</v>
      </c>
      <c r="D102" s="323"/>
      <c r="E102" s="324"/>
      <c r="F102" s="324"/>
      <c r="G102" s="324"/>
      <c r="H102" s="56"/>
      <c r="I102" s="56"/>
    </row>
    <row r="103" spans="1:18" s="5" customFormat="1" ht="15" x14ac:dyDescent="0.2">
      <c r="A103" s="279"/>
      <c r="B103" s="279"/>
      <c r="C103" s="279" t="s">
        <v>286</v>
      </c>
      <c r="D103" s="323"/>
      <c r="E103" s="324"/>
      <c r="F103" s="324"/>
      <c r="G103" s="324"/>
      <c r="H103" s="56"/>
      <c r="I103" s="56"/>
    </row>
    <row r="104" spans="1:18" s="5" customFormat="1" ht="15" x14ac:dyDescent="0.2">
      <c r="A104" s="244"/>
      <c r="B104" s="244"/>
      <c r="C104" s="234"/>
      <c r="D104" s="234"/>
      <c r="E104" s="56"/>
      <c r="F104" s="56"/>
      <c r="G104" s="56"/>
      <c r="H104" s="56"/>
      <c r="I104" s="56"/>
    </row>
    <row r="105" spans="1:18" s="280" customFormat="1" ht="12" customHeight="1" x14ac:dyDescent="0.2">
      <c r="A105" s="401"/>
      <c r="B105" s="402"/>
      <c r="C105" s="402"/>
      <c r="D105" s="402"/>
      <c r="E105" s="402"/>
      <c r="F105" s="402"/>
      <c r="G105" s="402"/>
      <c r="H105" s="402"/>
      <c r="I105" s="402"/>
      <c r="J105" s="402"/>
      <c r="K105" s="402"/>
      <c r="L105" s="402"/>
      <c r="M105" s="402"/>
    </row>
    <row r="106" spans="1:18" s="5" customFormat="1" ht="12" customHeight="1" x14ac:dyDescent="0.2">
      <c r="A106" s="402"/>
      <c r="B106" s="402"/>
      <c r="C106" s="402"/>
      <c r="D106" s="402"/>
      <c r="E106" s="402"/>
      <c r="F106" s="402"/>
      <c r="G106" s="402"/>
      <c r="H106" s="402"/>
      <c r="I106" s="402"/>
      <c r="J106" s="402"/>
      <c r="K106" s="402"/>
      <c r="L106" s="402"/>
      <c r="M106" s="402"/>
    </row>
    <row r="107" spans="1:18" s="5" customFormat="1" ht="15" x14ac:dyDescent="0.2">
      <c r="A107" s="4"/>
      <c r="B107" s="4"/>
      <c r="C107" s="370"/>
      <c r="D107" s="178"/>
      <c r="E107" s="56"/>
      <c r="F107" s="56"/>
      <c r="G107" s="56"/>
      <c r="H107" s="56"/>
      <c r="I107" s="56"/>
    </row>
    <row r="108" spans="1:18" s="5" customFormat="1" ht="15" x14ac:dyDescent="0.2">
      <c r="A108" s="4"/>
      <c r="B108" s="4"/>
      <c r="C108" s="178"/>
      <c r="D108" s="178"/>
      <c r="E108" s="56"/>
      <c r="F108" s="56"/>
      <c r="G108" s="56"/>
      <c r="H108" s="56"/>
      <c r="I108" s="56"/>
    </row>
    <row r="109" spans="1:18" s="5" customFormat="1" ht="15" x14ac:dyDescent="0.2">
      <c r="A109" s="4"/>
      <c r="B109" s="4"/>
      <c r="C109" s="369"/>
      <c r="D109" s="369"/>
      <c r="E109" s="56"/>
      <c r="F109" s="56"/>
      <c r="G109" s="56"/>
      <c r="H109" s="56"/>
      <c r="I109" s="56"/>
    </row>
    <row r="110" spans="1:18" s="5" customFormat="1" ht="15" x14ac:dyDescent="0.2">
      <c r="A110" s="4"/>
      <c r="B110" s="4"/>
      <c r="C110" s="370"/>
      <c r="D110" s="370"/>
      <c r="E110" s="246"/>
      <c r="F110" s="56"/>
      <c r="G110" s="56"/>
      <c r="H110" s="56"/>
      <c r="I110" s="56"/>
    </row>
    <row r="111" spans="1:18" s="5" customFormat="1" ht="15" x14ac:dyDescent="0.2">
      <c r="A111" s="4"/>
      <c r="B111" s="4"/>
      <c r="C111" s="178"/>
      <c r="D111" s="178"/>
      <c r="E111" s="56"/>
      <c r="F111" s="56"/>
      <c r="G111" s="56"/>
      <c r="H111" s="56"/>
      <c r="I111" s="56"/>
    </row>
    <row r="112" spans="1:18" s="5" customFormat="1" ht="15" x14ac:dyDescent="0.2">
      <c r="A112" s="4"/>
      <c r="B112" s="4"/>
      <c r="C112" s="178"/>
      <c r="D112" s="178"/>
      <c r="E112" s="56"/>
      <c r="F112" s="56"/>
      <c r="G112" s="56"/>
      <c r="H112" s="56"/>
      <c r="I112" s="56"/>
    </row>
    <row r="113" spans="1:9" s="5" customFormat="1" ht="15" x14ac:dyDescent="0.2">
      <c r="A113" s="4"/>
      <c r="B113" s="4"/>
      <c r="C113" s="178"/>
      <c r="D113" s="178"/>
      <c r="E113" s="56"/>
      <c r="F113" s="56"/>
      <c r="G113" s="56"/>
      <c r="H113" s="56"/>
      <c r="I113" s="56"/>
    </row>
    <row r="114" spans="1:9" s="5" customFormat="1" ht="15" x14ac:dyDescent="0.2">
      <c r="A114" s="4"/>
      <c r="B114" s="4"/>
      <c r="C114" s="178"/>
      <c r="D114" s="178"/>
      <c r="E114" s="56"/>
      <c r="F114" s="56"/>
      <c r="G114" s="56"/>
      <c r="H114" s="56"/>
      <c r="I114" s="56"/>
    </row>
  </sheetData>
  <mergeCells count="89">
    <mergeCell ref="H7:I7"/>
    <mergeCell ref="A73:A74"/>
    <mergeCell ref="A81:A82"/>
    <mergeCell ref="B81:B82"/>
    <mergeCell ref="B77:B78"/>
    <mergeCell ref="B73:B74"/>
    <mergeCell ref="A75:A76"/>
    <mergeCell ref="B75:B76"/>
    <mergeCell ref="A77:A78"/>
    <mergeCell ref="A79:A80"/>
    <mergeCell ref="B79:B80"/>
    <mergeCell ref="B61:B62"/>
    <mergeCell ref="A55:A56"/>
    <mergeCell ref="B55:B56"/>
    <mergeCell ref="A57:A58"/>
    <mergeCell ref="B57:B58"/>
    <mergeCell ref="L7:L8"/>
    <mergeCell ref="B9:B10"/>
    <mergeCell ref="A9:A10"/>
    <mergeCell ref="B69:B70"/>
    <mergeCell ref="A71:A72"/>
    <mergeCell ref="B71:B72"/>
    <mergeCell ref="A63:A64"/>
    <mergeCell ref="B63:B64"/>
    <mergeCell ref="A65:A66"/>
    <mergeCell ref="B65:B66"/>
    <mergeCell ref="A59:A60"/>
    <mergeCell ref="B59:B60"/>
    <mergeCell ref="A61:A62"/>
    <mergeCell ref="A67:A68"/>
    <mergeCell ref="B67:B68"/>
    <mergeCell ref="A69:A70"/>
    <mergeCell ref="A105:M106"/>
    <mergeCell ref="B89:B90"/>
    <mergeCell ref="A83:A84"/>
    <mergeCell ref="B83:B84"/>
    <mergeCell ref="A85:A86"/>
    <mergeCell ref="B85:B86"/>
    <mergeCell ref="A93:A94"/>
    <mergeCell ref="B93:B94"/>
    <mergeCell ref="A91:A92"/>
    <mergeCell ref="B91:B92"/>
    <mergeCell ref="A87:A88"/>
    <mergeCell ref="B87:B88"/>
    <mergeCell ref="A89:A90"/>
    <mergeCell ref="A53:A54"/>
    <mergeCell ref="B53:B54"/>
    <mergeCell ref="A49:A50"/>
    <mergeCell ref="B49:B50"/>
    <mergeCell ref="A51:A52"/>
    <mergeCell ref="B51:B52"/>
    <mergeCell ref="A45:A46"/>
    <mergeCell ref="B45:B46"/>
    <mergeCell ref="A47:A48"/>
    <mergeCell ref="B47:B48"/>
    <mergeCell ref="A41:A42"/>
    <mergeCell ref="B41:B42"/>
    <mergeCell ref="A43:A44"/>
    <mergeCell ref="B43:B44"/>
    <mergeCell ref="A39:A40"/>
    <mergeCell ref="B39:B40"/>
    <mergeCell ref="A33:A34"/>
    <mergeCell ref="B33:B34"/>
    <mergeCell ref="A35:A36"/>
    <mergeCell ref="B35:B36"/>
    <mergeCell ref="A31:A32"/>
    <mergeCell ref="B31:B32"/>
    <mergeCell ref="A27:A28"/>
    <mergeCell ref="B27:B28"/>
    <mergeCell ref="A37:A38"/>
    <mergeCell ref="B37:B38"/>
    <mergeCell ref="A25:A26"/>
    <mergeCell ref="B25:B26"/>
    <mergeCell ref="A21:A22"/>
    <mergeCell ref="B21:B22"/>
    <mergeCell ref="A29:A30"/>
    <mergeCell ref="B29:B30"/>
    <mergeCell ref="B11:B12"/>
    <mergeCell ref="A11:A12"/>
    <mergeCell ref="A13:A14"/>
    <mergeCell ref="B13:B14"/>
    <mergeCell ref="A23:A24"/>
    <mergeCell ref="B23:B24"/>
    <mergeCell ref="A19:A20"/>
    <mergeCell ref="B19:B20"/>
    <mergeCell ref="A15:A16"/>
    <mergeCell ref="B15:B16"/>
    <mergeCell ref="A17:A18"/>
    <mergeCell ref="B17:B18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75" firstPageNumber="288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  <rowBreaks count="2" manualBreakCount="2">
    <brk id="44" max="12" man="1"/>
    <brk id="86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148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149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150</v>
      </c>
      <c r="F6" s="62"/>
      <c r="G6" s="63" t="s">
        <v>39</v>
      </c>
      <c r="H6" s="64">
        <v>1033</v>
      </c>
    </row>
    <row r="7" spans="1:9" ht="9.7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23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819000</v>
      </c>
      <c r="F15" s="303">
        <v>5256800</v>
      </c>
      <c r="G15" s="26">
        <f>H15+I15</f>
        <v>5277205.5199999996</v>
      </c>
      <c r="H15" s="302">
        <v>5277205.5199999996</v>
      </c>
      <c r="I15" s="302">
        <v>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819000</v>
      </c>
      <c r="F17" s="303">
        <v>5271808</v>
      </c>
      <c r="G17" s="26">
        <f>H17+I17</f>
        <v>5288722.34</v>
      </c>
      <c r="H17" s="302">
        <v>5288722.34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11516.820000000298</v>
      </c>
      <c r="H23" s="91">
        <f>H17-H15-H21</f>
        <v>11516.820000000298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11516.82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9516.82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ht="12.75" customHeight="1" x14ac:dyDescent="0.2">
      <c r="A31" s="423"/>
      <c r="B31" s="423"/>
      <c r="C31" s="423"/>
      <c r="D31" s="423"/>
      <c r="E31" s="423"/>
      <c r="F31" s="423"/>
      <c r="G31" s="423"/>
      <c r="H31" s="423"/>
      <c r="I31" s="423"/>
    </row>
    <row r="32" spans="1:9" x14ac:dyDescent="0.2">
      <c r="A32" s="423"/>
      <c r="B32" s="423"/>
      <c r="C32" s="423"/>
      <c r="D32" s="423"/>
      <c r="E32" s="423"/>
      <c r="F32" s="423"/>
      <c r="G32" s="423"/>
      <c r="H32" s="423"/>
      <c r="I32" s="423"/>
    </row>
    <row r="33" spans="1:10" x14ac:dyDescent="0.2">
      <c r="A33" s="423"/>
      <c r="B33" s="423"/>
      <c r="C33" s="423"/>
      <c r="D33" s="423"/>
      <c r="E33" s="423"/>
      <c r="F33" s="423"/>
      <c r="G33" s="423"/>
      <c r="H33" s="423"/>
      <c r="I33" s="423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4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43008</v>
      </c>
      <c r="G37" s="110">
        <v>43008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36008</v>
      </c>
      <c r="G39" s="110">
        <v>36008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64"/>
      <c r="I40" s="114" t="s">
        <v>225</v>
      </c>
    </row>
    <row r="41" spans="1:10" ht="15" customHeight="1" x14ac:dyDescent="0.2">
      <c r="A41" s="430"/>
      <c r="B41" s="431"/>
      <c r="C41" s="431"/>
      <c r="D41" s="431"/>
      <c r="E41" s="431"/>
      <c r="F41" s="431"/>
      <c r="G41" s="431"/>
      <c r="H41" s="431"/>
      <c r="I41" s="431"/>
      <c r="J41" s="58"/>
    </row>
    <row r="42" spans="1:10" ht="15" customHeight="1" x14ac:dyDescent="0.2">
      <c r="A42" s="117"/>
      <c r="B42" s="117"/>
      <c r="C42" s="117"/>
      <c r="D42" s="117"/>
      <c r="E42" s="117"/>
      <c r="F42" s="117"/>
      <c r="G42" s="117"/>
      <c r="H42" s="117"/>
      <c r="I42" s="117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1000</v>
      </c>
      <c r="F48" s="123">
        <v>15500</v>
      </c>
      <c r="G48" s="124">
        <v>0</v>
      </c>
      <c r="H48" s="124">
        <f>E48+F48-G48</f>
        <v>16500</v>
      </c>
      <c r="I48" s="125">
        <f>H48</f>
        <v>16500</v>
      </c>
    </row>
    <row r="49" spans="1:9" x14ac:dyDescent="0.2">
      <c r="A49" s="126"/>
      <c r="B49" s="127"/>
      <c r="C49" s="127" t="s">
        <v>8</v>
      </c>
      <c r="D49" s="127"/>
      <c r="E49" s="128">
        <v>11029.13</v>
      </c>
      <c r="F49" s="129">
        <v>30998</v>
      </c>
      <c r="G49" s="130">
        <v>31159</v>
      </c>
      <c r="H49" s="130">
        <f>E49+F49-G49</f>
        <v>10868.129999999997</v>
      </c>
      <c r="I49" s="131">
        <v>6563.29</v>
      </c>
    </row>
    <row r="50" spans="1:9" x14ac:dyDescent="0.2">
      <c r="A50" s="126"/>
      <c r="B50" s="127"/>
      <c r="C50" s="127" t="s">
        <v>7</v>
      </c>
      <c r="D50" s="127"/>
      <c r="E50" s="128">
        <v>11365.26</v>
      </c>
      <c r="F50" s="129">
        <f>23894.07+5500</f>
        <v>29394.07</v>
      </c>
      <c r="G50" s="148">
        <v>5500</v>
      </c>
      <c r="H50" s="130">
        <f t="shared" ref="H50:H51" si="0">E50+F50-G50</f>
        <v>35259.33</v>
      </c>
      <c r="I50" s="131">
        <f>H50</f>
        <v>35259.33</v>
      </c>
    </row>
    <row r="51" spans="1:9" x14ac:dyDescent="0.2">
      <c r="A51" s="126"/>
      <c r="B51" s="127"/>
      <c r="C51" s="127" t="s">
        <v>15</v>
      </c>
      <c r="D51" s="127"/>
      <c r="E51" s="128">
        <v>340</v>
      </c>
      <c r="F51" s="129">
        <v>43008</v>
      </c>
      <c r="G51" s="130">
        <v>36008</v>
      </c>
      <c r="H51" s="130">
        <f t="shared" si="0"/>
        <v>7340</v>
      </c>
      <c r="I51" s="131">
        <f>H51</f>
        <v>7340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23734.39</v>
      </c>
      <c r="F52" s="135">
        <f>F48+F49+F50+F51</f>
        <v>118900.07</v>
      </c>
      <c r="G52" s="135">
        <f>G48+G49+G50+G51</f>
        <v>72667</v>
      </c>
      <c r="H52" s="135">
        <f>H48+H49+H50+H51</f>
        <v>69967.459999999992</v>
      </c>
      <c r="I52" s="136">
        <f>I48+I49+I50+I51</f>
        <v>65662.62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75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3">
    <mergeCell ref="F45:F46"/>
    <mergeCell ref="E5:I5"/>
    <mergeCell ref="E7:I7"/>
    <mergeCell ref="H12:I12"/>
    <mergeCell ref="A41:I41"/>
    <mergeCell ref="A31:I31"/>
    <mergeCell ref="A32:I32"/>
    <mergeCell ref="A33:I33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105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151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152</v>
      </c>
      <c r="F6" s="62"/>
      <c r="G6" s="63" t="s">
        <v>39</v>
      </c>
      <c r="H6" s="64">
        <v>1034</v>
      </c>
    </row>
    <row r="7" spans="1:9" ht="9" customHeight="1" x14ac:dyDescent="0.4">
      <c r="A7" s="60"/>
      <c r="E7" s="413" t="s">
        <v>110</v>
      </c>
      <c r="F7" s="413"/>
      <c r="G7" s="413"/>
      <c r="H7" s="413"/>
      <c r="I7" s="413"/>
    </row>
    <row r="8" spans="1:9" ht="5.25" customHeight="1" x14ac:dyDescent="0.4">
      <c r="A8" s="60"/>
      <c r="E8" s="65"/>
      <c r="F8" s="65"/>
      <c r="G8" s="65"/>
      <c r="H8" s="63"/>
      <c r="I8" s="65"/>
    </row>
    <row r="9" spans="1:9" ht="17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2557000</v>
      </c>
      <c r="F15" s="303">
        <v>14008189.34</v>
      </c>
      <c r="G15" s="26">
        <f>H15+I15</f>
        <v>13988263.699999999</v>
      </c>
      <c r="H15" s="302">
        <v>13892541.699999999</v>
      </c>
      <c r="I15" s="302">
        <v>95722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2557000</v>
      </c>
      <c r="F17" s="303">
        <v>14022682.34</v>
      </c>
      <c r="G17" s="26">
        <f>H17+I17</f>
        <v>14022682.34</v>
      </c>
      <c r="H17" s="302">
        <v>13911315.34</v>
      </c>
      <c r="I17" s="302">
        <v>111367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34418.640000000596</v>
      </c>
      <c r="H23" s="91">
        <f>H17-H15-H21</f>
        <v>18773.640000000596</v>
      </c>
      <c r="I23" s="91">
        <f>I17-I15-I21</f>
        <v>15645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34418.639999999999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29418.639999999999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296581</v>
      </c>
      <c r="G37" s="110">
        <v>296899</v>
      </c>
      <c r="H37" s="305"/>
      <c r="I37" s="111">
        <f>G37/F37</f>
        <v>1.0010722197308661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222186</v>
      </c>
      <c r="G39" s="110">
        <v>222186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5" customHeight="1" x14ac:dyDescent="0.2">
      <c r="A41" s="429" t="s">
        <v>299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5" customHeight="1" x14ac:dyDescent="0.2">
      <c r="A42" s="117"/>
      <c r="B42" s="117"/>
      <c r="C42" s="117"/>
      <c r="D42" s="117"/>
      <c r="E42" s="117"/>
      <c r="F42" s="117"/>
      <c r="G42" s="117"/>
      <c r="H42" s="117"/>
      <c r="I42" s="117"/>
    </row>
    <row r="43" spans="1:10" ht="15" customHeight="1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14000</v>
      </c>
      <c r="F48" s="123">
        <v>10000</v>
      </c>
      <c r="G48" s="124">
        <v>2000</v>
      </c>
      <c r="H48" s="124">
        <f>E48+F48-G48</f>
        <v>22000</v>
      </c>
      <c r="I48" s="125">
        <f>H48</f>
        <v>22000</v>
      </c>
    </row>
    <row r="49" spans="1:9" x14ac:dyDescent="0.2">
      <c r="A49" s="126"/>
      <c r="B49" s="127"/>
      <c r="C49" s="127" t="s">
        <v>8</v>
      </c>
      <c r="D49" s="127"/>
      <c r="E49" s="128">
        <v>184502.65</v>
      </c>
      <c r="F49" s="129">
        <v>83453</v>
      </c>
      <c r="G49" s="130">
        <v>124264</v>
      </c>
      <c r="H49" s="130">
        <f>E49+F49-G49</f>
        <v>143691.65000000002</v>
      </c>
      <c r="I49" s="131">
        <v>136238.79999999999</v>
      </c>
    </row>
    <row r="50" spans="1:9" x14ac:dyDescent="0.2">
      <c r="A50" s="126"/>
      <c r="B50" s="127"/>
      <c r="C50" s="127" t="s">
        <v>7</v>
      </c>
      <c r="D50" s="127"/>
      <c r="E50" s="128">
        <v>285505.09000000003</v>
      </c>
      <c r="F50" s="129">
        <f>37130.65+24782.6</f>
        <v>61913.25</v>
      </c>
      <c r="G50" s="130">
        <v>24782.6</v>
      </c>
      <c r="H50" s="130">
        <f t="shared" ref="H50:H51" si="0">E50+F50-G50</f>
        <v>322635.74000000005</v>
      </c>
      <c r="I50" s="131">
        <v>306176.74</v>
      </c>
    </row>
    <row r="51" spans="1:9" x14ac:dyDescent="0.2">
      <c r="A51" s="126"/>
      <c r="B51" s="127"/>
      <c r="C51" s="127" t="s">
        <v>15</v>
      </c>
      <c r="D51" s="127"/>
      <c r="E51" s="128">
        <v>174680.79</v>
      </c>
      <c r="F51" s="129">
        <v>303117</v>
      </c>
      <c r="G51" s="130">
        <v>272460</v>
      </c>
      <c r="H51" s="130">
        <f t="shared" si="0"/>
        <v>205337.79000000004</v>
      </c>
      <c r="I51" s="131">
        <f>H51</f>
        <v>205337.79000000004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658688.53</v>
      </c>
      <c r="F52" s="135">
        <f>F48+F49+F50+F51</f>
        <v>458483.25</v>
      </c>
      <c r="G52" s="135">
        <f>G48+G49+G50+G51</f>
        <v>423506.6</v>
      </c>
      <c r="H52" s="135">
        <f>H48+H49+H50+H51</f>
        <v>693665.18000000017</v>
      </c>
      <c r="I52" s="136">
        <f>I48+I49+I50+I51</f>
        <v>669753.33000000007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126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153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154</v>
      </c>
      <c r="F6" s="62"/>
      <c r="G6" s="63" t="s">
        <v>39</v>
      </c>
      <c r="H6" s="64">
        <v>1100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31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3891000</v>
      </c>
      <c r="F15" s="303">
        <v>19259168.030000001</v>
      </c>
      <c r="G15" s="26">
        <f>H15+I15</f>
        <v>19074123.48</v>
      </c>
      <c r="H15" s="302">
        <v>19051867.539999999</v>
      </c>
      <c r="I15" s="302">
        <v>22255.94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3905000</v>
      </c>
      <c r="F17" s="303">
        <v>19259958.739999998</v>
      </c>
      <c r="G17" s="26">
        <f>H17+I17</f>
        <v>19074969.5</v>
      </c>
      <c r="H17" s="302">
        <v>19051922.850000001</v>
      </c>
      <c r="I17" s="302">
        <v>23046.65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846.01999999955297</v>
      </c>
      <c r="H23" s="91">
        <f>H17-H15-H21</f>
        <v>55.310000002384186</v>
      </c>
      <c r="I23" s="91">
        <f>I17-I15-I21</f>
        <v>790.71000000000276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846.02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846.02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4050</v>
      </c>
      <c r="G36" s="110">
        <v>4050</v>
      </c>
      <c r="H36" s="305"/>
      <c r="I36" s="111">
        <f>G36/F36</f>
        <v>1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61720</v>
      </c>
      <c r="G37" s="110">
        <v>61720.62</v>
      </c>
      <c r="H37" s="305"/>
      <c r="I37" s="111">
        <f>G37/F37</f>
        <v>1.0000100453661698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46790</v>
      </c>
      <c r="G39" s="110">
        <v>46790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9" t="s">
        <v>300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2000</v>
      </c>
      <c r="F48" s="123">
        <v>2000</v>
      </c>
      <c r="G48" s="124">
        <v>2000</v>
      </c>
      <c r="H48" s="124">
        <f>E48+F48-G48</f>
        <v>2000</v>
      </c>
      <c r="I48" s="125">
        <f>H48</f>
        <v>2000</v>
      </c>
    </row>
    <row r="49" spans="1:9" x14ac:dyDescent="0.2">
      <c r="A49" s="126"/>
      <c r="B49" s="127"/>
      <c r="C49" s="127" t="s">
        <v>8</v>
      </c>
      <c r="D49" s="127"/>
      <c r="E49" s="128">
        <v>213706.34</v>
      </c>
      <c r="F49" s="129">
        <v>100370</v>
      </c>
      <c r="G49" s="130">
        <v>74658.5</v>
      </c>
      <c r="H49" s="130">
        <f>E49+F49-G49</f>
        <v>239417.83999999997</v>
      </c>
      <c r="I49" s="131">
        <v>184219.53</v>
      </c>
    </row>
    <row r="50" spans="1:9" x14ac:dyDescent="0.2">
      <c r="A50" s="126"/>
      <c r="B50" s="127"/>
      <c r="C50" s="127" t="s">
        <v>7</v>
      </c>
      <c r="D50" s="127"/>
      <c r="E50" s="128">
        <v>23458.69</v>
      </c>
      <c r="F50" s="129">
        <f>14411.85+193130</f>
        <v>207541.85</v>
      </c>
      <c r="G50" s="130">
        <f>28255.64+4172</f>
        <v>32427.64</v>
      </c>
      <c r="H50" s="130">
        <f t="shared" ref="H50:H51" si="0">E50+F50-G50</f>
        <v>198572.90000000002</v>
      </c>
      <c r="I50" s="131">
        <v>210674.89</v>
      </c>
    </row>
    <row r="51" spans="1:9" x14ac:dyDescent="0.2">
      <c r="A51" s="126"/>
      <c r="B51" s="127"/>
      <c r="C51" s="127" t="s">
        <v>15</v>
      </c>
      <c r="D51" s="127"/>
      <c r="E51" s="128">
        <v>39078.47</v>
      </c>
      <c r="F51" s="129">
        <v>61720.62</v>
      </c>
      <c r="G51" s="130">
        <v>46790</v>
      </c>
      <c r="H51" s="130">
        <f t="shared" si="0"/>
        <v>54009.09</v>
      </c>
      <c r="I51" s="131">
        <f>H51</f>
        <v>54009.09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278243.5</v>
      </c>
      <c r="F52" s="135">
        <f>F48+F49+F50+F51</f>
        <v>371632.47</v>
      </c>
      <c r="G52" s="135">
        <f>G48+G49+G50+G51</f>
        <v>155876.14000000001</v>
      </c>
      <c r="H52" s="135">
        <f>H48+H49+H50+H51</f>
        <v>493999.82999999996</v>
      </c>
      <c r="I52" s="136">
        <f>I48+I49+I50+I51</f>
        <v>450903.51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idden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ht="13.5" thickTop="1" x14ac:dyDescent="0.2"/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5.425781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121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155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156</v>
      </c>
      <c r="F6" s="62"/>
      <c r="G6" s="63" t="s">
        <v>39</v>
      </c>
      <c r="H6" s="64">
        <v>1101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2.25" customHeight="1" x14ac:dyDescent="0.4">
      <c r="A8" s="60"/>
      <c r="E8" s="65"/>
      <c r="F8" s="65"/>
      <c r="G8" s="65"/>
      <c r="H8" s="63"/>
      <c r="I8" s="65"/>
    </row>
    <row r="9" spans="1:9" ht="37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5905000</v>
      </c>
      <c r="F15" s="303">
        <v>35548650.600000001</v>
      </c>
      <c r="G15" s="26">
        <f>H15+I15</f>
        <v>35541840.68</v>
      </c>
      <c r="H15" s="302">
        <v>35278589.960000001</v>
      </c>
      <c r="I15" s="302">
        <v>263250.71999999997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5970000</v>
      </c>
      <c r="F17" s="303">
        <v>34371823.75</v>
      </c>
      <c r="G17" s="26">
        <f>H17+I17</f>
        <v>35678741.859999999</v>
      </c>
      <c r="H17" s="302">
        <v>35225069.859999999</v>
      </c>
      <c r="I17" s="302">
        <v>453672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136901.1799999997</v>
      </c>
      <c r="H23" s="91">
        <f>H17-H15-H21</f>
        <v>-53520.10000000149</v>
      </c>
      <c r="I23" s="91">
        <f>I17-I15-I21</f>
        <v>190421.28000000003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136901.18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131901.18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32"/>
      <c r="B31" s="432"/>
      <c r="C31" s="432"/>
      <c r="D31" s="432"/>
      <c r="E31" s="432"/>
      <c r="F31" s="432"/>
      <c r="G31" s="432"/>
      <c r="H31" s="432"/>
      <c r="I31" s="432"/>
    </row>
    <row r="32" spans="1:9" x14ac:dyDescent="0.2">
      <c r="A32" s="432"/>
      <c r="B32" s="432"/>
      <c r="C32" s="432"/>
      <c r="D32" s="432"/>
      <c r="E32" s="432"/>
      <c r="F32" s="432"/>
      <c r="G32" s="432"/>
      <c r="H32" s="432"/>
      <c r="I32" s="432"/>
    </row>
    <row r="33" spans="1:10" x14ac:dyDescent="0.2">
      <c r="A33" s="432"/>
      <c r="B33" s="432"/>
      <c r="C33" s="432"/>
      <c r="D33" s="432"/>
      <c r="E33" s="432"/>
      <c r="F33" s="432"/>
      <c r="G33" s="432"/>
      <c r="H33" s="432"/>
      <c r="I33" s="432"/>
    </row>
    <row r="34" spans="1:10" x14ac:dyDescent="0.2">
      <c r="A34" s="102"/>
      <c r="B34" s="102"/>
      <c r="C34" s="102"/>
      <c r="D34" s="102"/>
      <c r="E34" s="102"/>
      <c r="F34" s="102"/>
      <c r="G34" s="102"/>
      <c r="H34" s="102"/>
      <c r="I34" s="102"/>
    </row>
    <row r="35" spans="1:10" ht="19.5" x14ac:dyDescent="0.4">
      <c r="A35" s="77" t="s">
        <v>30</v>
      </c>
      <c r="B35" s="77" t="s">
        <v>31</v>
      </c>
      <c r="C35" s="77"/>
      <c r="D35" s="103"/>
      <c r="E35" s="81"/>
      <c r="F35" s="3"/>
      <c r="G35" s="104"/>
      <c r="H35" s="95"/>
      <c r="I35" s="95"/>
    </row>
    <row r="36" spans="1:10" ht="18.75" x14ac:dyDescent="0.4">
      <c r="A36" s="77"/>
      <c r="B36" s="77"/>
      <c r="C36" s="77"/>
      <c r="D36" s="103"/>
      <c r="F36" s="105" t="s">
        <v>115</v>
      </c>
      <c r="G36" s="106" t="s">
        <v>0</v>
      </c>
      <c r="H36" s="72"/>
      <c r="I36" s="107" t="s">
        <v>116</v>
      </c>
    </row>
    <row r="37" spans="1:10" ht="16.5" x14ac:dyDescent="0.35">
      <c r="A37" s="108" t="s">
        <v>32</v>
      </c>
      <c r="B37" s="109"/>
      <c r="C37" s="2"/>
      <c r="D37" s="109"/>
      <c r="E37" s="81"/>
      <c r="F37" s="110">
        <v>0</v>
      </c>
      <c r="G37" s="110">
        <v>0</v>
      </c>
      <c r="H37" s="305"/>
      <c r="I37" s="111" t="s">
        <v>225</v>
      </c>
    </row>
    <row r="38" spans="1:10" ht="16.5" x14ac:dyDescent="0.35">
      <c r="A38" s="108" t="s">
        <v>117</v>
      </c>
      <c r="B38" s="109"/>
      <c r="C38" s="2"/>
      <c r="D38" s="112"/>
      <c r="E38" s="112"/>
      <c r="F38" s="110">
        <v>378964</v>
      </c>
      <c r="G38" s="110">
        <v>301934.2</v>
      </c>
      <c r="H38" s="305"/>
      <c r="I38" s="111">
        <f>G38/F38</f>
        <v>0.79673583770490075</v>
      </c>
      <c r="J38" s="246"/>
    </row>
    <row r="39" spans="1:10" ht="16.5" x14ac:dyDescent="0.35">
      <c r="A39" s="108" t="s">
        <v>118</v>
      </c>
      <c r="B39" s="109"/>
      <c r="C39" s="2"/>
      <c r="D39" s="112"/>
      <c r="E39" s="112"/>
      <c r="F39" s="110">
        <v>0</v>
      </c>
      <c r="G39" s="110">
        <v>0</v>
      </c>
      <c r="H39" s="305"/>
      <c r="I39" s="114" t="s">
        <v>225</v>
      </c>
    </row>
    <row r="40" spans="1:10" ht="16.5" x14ac:dyDescent="0.35">
      <c r="A40" s="108" t="s">
        <v>220</v>
      </c>
      <c r="B40" s="109"/>
      <c r="C40" s="2"/>
      <c r="D40" s="81"/>
      <c r="E40" s="81"/>
      <c r="F40" s="110">
        <v>299964</v>
      </c>
      <c r="G40" s="110">
        <v>299964</v>
      </c>
      <c r="H40" s="305"/>
      <c r="I40" s="111">
        <f>G40/F40</f>
        <v>1</v>
      </c>
    </row>
    <row r="41" spans="1:10" ht="18" x14ac:dyDescent="0.35">
      <c r="A41" s="108" t="s">
        <v>221</v>
      </c>
      <c r="B41" s="115"/>
      <c r="C41" s="115"/>
      <c r="D41" s="81"/>
      <c r="E41" s="81"/>
      <c r="F41" s="153">
        <v>0</v>
      </c>
      <c r="G41" s="154">
        <v>0</v>
      </c>
      <c r="H41" s="305"/>
      <c r="I41" s="114" t="s">
        <v>225</v>
      </c>
      <c r="J41" s="58"/>
    </row>
    <row r="42" spans="1:10" ht="15" customHeight="1" x14ac:dyDescent="0.2">
      <c r="A42" s="433" t="s">
        <v>326</v>
      </c>
      <c r="B42" s="434"/>
      <c r="C42" s="434"/>
      <c r="D42" s="434"/>
      <c r="E42" s="434"/>
      <c r="F42" s="434"/>
      <c r="G42" s="434"/>
      <c r="H42" s="434"/>
      <c r="I42" s="434"/>
    </row>
    <row r="43" spans="1:10" ht="15" customHeight="1" x14ac:dyDescent="0.2">
      <c r="A43" s="117"/>
      <c r="B43" s="117"/>
      <c r="C43" s="117"/>
      <c r="D43" s="117"/>
      <c r="E43" s="117"/>
      <c r="F43" s="117"/>
      <c r="G43" s="117"/>
      <c r="H43" s="117"/>
      <c r="I43" s="117"/>
    </row>
    <row r="44" spans="1:10" ht="19.5" thickBot="1" x14ac:dyDescent="0.45">
      <c r="A44" s="77" t="s">
        <v>11</v>
      </c>
      <c r="B44" s="77" t="s">
        <v>12</v>
      </c>
      <c r="C44" s="79"/>
      <c r="D44" s="81"/>
      <c r="E44" s="81"/>
      <c r="F44" s="118"/>
      <c r="G44" s="119"/>
      <c r="H44" s="419" t="s">
        <v>119</v>
      </c>
      <c r="I44" s="420"/>
    </row>
    <row r="45" spans="1:10" ht="18.75" thickTop="1" x14ac:dyDescent="0.35">
      <c r="A45" s="281"/>
      <c r="B45" s="282"/>
      <c r="C45" s="283"/>
      <c r="D45" s="282"/>
      <c r="E45" s="284" t="s">
        <v>288</v>
      </c>
      <c r="F45" s="285" t="s">
        <v>9</v>
      </c>
      <c r="G45" s="286" t="s">
        <v>10</v>
      </c>
      <c r="H45" s="287" t="s">
        <v>13</v>
      </c>
      <c r="I45" s="288" t="s">
        <v>120</v>
      </c>
    </row>
    <row r="46" spans="1:10" x14ac:dyDescent="0.2">
      <c r="A46" s="289"/>
      <c r="B46" s="290"/>
      <c r="C46" s="290"/>
      <c r="D46" s="290"/>
      <c r="E46" s="289"/>
      <c r="F46" s="415"/>
      <c r="G46" s="291"/>
      <c r="H46" s="292">
        <v>41274</v>
      </c>
      <c r="I46" s="293">
        <v>41274</v>
      </c>
    </row>
    <row r="47" spans="1:10" x14ac:dyDescent="0.2">
      <c r="A47" s="289"/>
      <c r="B47" s="290"/>
      <c r="C47" s="290"/>
      <c r="D47" s="290"/>
      <c r="E47" s="289"/>
      <c r="F47" s="415"/>
      <c r="G47" s="294"/>
      <c r="H47" s="294"/>
      <c r="I47" s="295"/>
    </row>
    <row r="48" spans="1:10" ht="13.5" thickBot="1" x14ac:dyDescent="0.25">
      <c r="A48" s="296"/>
      <c r="B48" s="297"/>
      <c r="C48" s="297"/>
      <c r="D48" s="297"/>
      <c r="E48" s="296"/>
      <c r="F48" s="298"/>
      <c r="G48" s="299"/>
      <c r="H48" s="299"/>
      <c r="I48" s="300"/>
    </row>
    <row r="49" spans="1:9" ht="13.5" thickTop="1" x14ac:dyDescent="0.2">
      <c r="A49" s="120"/>
      <c r="B49" s="121"/>
      <c r="C49" s="121" t="s">
        <v>6</v>
      </c>
      <c r="D49" s="121"/>
      <c r="E49" s="122">
        <v>10300</v>
      </c>
      <c r="F49" s="123">
        <v>15000</v>
      </c>
      <c r="G49" s="124">
        <v>5000</v>
      </c>
      <c r="H49" s="124">
        <f>E49+F49-G49</f>
        <v>20300</v>
      </c>
      <c r="I49" s="125">
        <f>H49</f>
        <v>20300</v>
      </c>
    </row>
    <row r="50" spans="1:9" x14ac:dyDescent="0.2">
      <c r="A50" s="126"/>
      <c r="B50" s="127"/>
      <c r="C50" s="127" t="s">
        <v>8</v>
      </c>
      <c r="D50" s="127"/>
      <c r="E50" s="128">
        <v>386530.99</v>
      </c>
      <c r="F50" s="129">
        <v>173295</v>
      </c>
      <c r="G50" s="130">
        <v>190850</v>
      </c>
      <c r="H50" s="130">
        <f>E50+F50-G50</f>
        <v>368975.99</v>
      </c>
      <c r="I50" s="131">
        <v>258195.99</v>
      </c>
    </row>
    <row r="51" spans="1:9" x14ac:dyDescent="0.2">
      <c r="A51" s="126"/>
      <c r="B51" s="127"/>
      <c r="C51" s="127" t="s">
        <v>7</v>
      </c>
      <c r="D51" s="127"/>
      <c r="E51" s="128">
        <v>716879.72</v>
      </c>
      <c r="F51" s="129">
        <f>234967.77+260012.91</f>
        <v>494980.68</v>
      </c>
      <c r="G51" s="130">
        <v>517727.1</v>
      </c>
      <c r="H51" s="130">
        <f t="shared" ref="H51:H52" si="0">E51+F51-G51</f>
        <v>694133.29999999993</v>
      </c>
      <c r="I51" s="131">
        <f>H51</f>
        <v>694133.29999999993</v>
      </c>
    </row>
    <row r="52" spans="1:9" x14ac:dyDescent="0.2">
      <c r="A52" s="126"/>
      <c r="B52" s="127"/>
      <c r="C52" s="127" t="s">
        <v>15</v>
      </c>
      <c r="D52" s="127"/>
      <c r="E52" s="128">
        <v>215664</v>
      </c>
      <c r="F52" s="129">
        <v>323114.2</v>
      </c>
      <c r="G52" s="130">
        <v>372568.83</v>
      </c>
      <c r="H52" s="130">
        <f t="shared" si="0"/>
        <v>166209.36999999994</v>
      </c>
      <c r="I52" s="131">
        <f>H52</f>
        <v>166209.36999999994</v>
      </c>
    </row>
    <row r="53" spans="1:9" ht="18.75" thickBot="1" x14ac:dyDescent="0.4">
      <c r="A53" s="132" t="s">
        <v>2</v>
      </c>
      <c r="B53" s="133"/>
      <c r="C53" s="133"/>
      <c r="D53" s="133"/>
      <c r="E53" s="134">
        <f>E49+E50+E51+E52</f>
        <v>1329374.71</v>
      </c>
      <c r="F53" s="135">
        <f>F49+F50+F51+F52</f>
        <v>1006389.8799999999</v>
      </c>
      <c r="G53" s="135">
        <f>G49+G50+G51+G52</f>
        <v>1086145.93</v>
      </c>
      <c r="H53" s="135">
        <f>H49+H50+H51+H52</f>
        <v>1249618.6599999999</v>
      </c>
      <c r="I53" s="136">
        <f>I49+I50+I51+I52</f>
        <v>1138838.6599999999</v>
      </c>
    </row>
    <row r="54" spans="1:9" ht="18.75" hidden="1" thickTop="1" x14ac:dyDescent="0.35">
      <c r="A54" s="137"/>
      <c r="B54" s="115"/>
      <c r="C54" s="115"/>
      <c r="D54" s="81"/>
      <c r="E54" s="81"/>
      <c r="F54" s="118"/>
      <c r="G54" s="119"/>
      <c r="H54" s="138"/>
      <c r="I54" s="138"/>
    </row>
    <row r="55" spans="1:9" ht="18" hidden="1" x14ac:dyDescent="0.35">
      <c r="A55" s="137"/>
      <c r="B55" s="115"/>
      <c r="C55" s="115"/>
      <c r="D55" s="81"/>
      <c r="E55" s="81"/>
      <c r="F55" s="118"/>
      <c r="G55" s="139"/>
      <c r="H55" s="140"/>
      <c r="I55" s="140"/>
    </row>
    <row r="56" spans="1:9" ht="18" hidden="1" x14ac:dyDescent="0.35">
      <c r="A56" s="141"/>
      <c r="B56" s="142"/>
      <c r="C56" s="142"/>
      <c r="D56" s="143"/>
      <c r="E56" s="143"/>
      <c r="F56" s="140"/>
      <c r="G56" s="140"/>
      <c r="H56" s="140"/>
      <c r="I56" s="140"/>
    </row>
    <row r="57" spans="1:9" ht="13.5" thickTop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x14ac:dyDescent="0.2">
      <c r="A58" s="144"/>
      <c r="B58" s="144"/>
      <c r="C58" s="144"/>
      <c r="D58" s="144"/>
      <c r="E58" s="144"/>
      <c r="F58" s="144"/>
      <c r="G58" s="144"/>
      <c r="H58" s="144"/>
      <c r="I58" s="144"/>
    </row>
  </sheetData>
  <mergeCells count="11">
    <mergeCell ref="F46:F47"/>
    <mergeCell ref="E5:I5"/>
    <mergeCell ref="E7:I7"/>
    <mergeCell ref="H12:I12"/>
    <mergeCell ref="A31:I33"/>
    <mergeCell ref="A42:I42"/>
    <mergeCell ref="A2:D2"/>
    <mergeCell ref="E2:I2"/>
    <mergeCell ref="E3:I3"/>
    <mergeCell ref="E4:I4"/>
    <mergeCell ref="H44:I44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425781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127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263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157</v>
      </c>
      <c r="F6" s="62"/>
      <c r="G6" s="63" t="s">
        <v>39</v>
      </c>
      <c r="H6" s="64">
        <v>1102</v>
      </c>
    </row>
    <row r="7" spans="1:9" ht="6.75" customHeight="1" x14ac:dyDescent="0.4">
      <c r="A7" s="60"/>
      <c r="E7" s="413" t="s">
        <v>110</v>
      </c>
      <c r="F7" s="413"/>
      <c r="G7" s="413"/>
      <c r="H7" s="413"/>
      <c r="I7" s="413"/>
    </row>
    <row r="8" spans="1:9" ht="1.5" customHeight="1" x14ac:dyDescent="0.4">
      <c r="A8" s="60"/>
      <c r="E8" s="65"/>
      <c r="F8" s="65"/>
      <c r="G8" s="65"/>
      <c r="H8" s="63"/>
      <c r="I8" s="65"/>
    </row>
    <row r="9" spans="1:9" ht="34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9561000</v>
      </c>
      <c r="F15" s="303">
        <v>52321545.700000003</v>
      </c>
      <c r="G15" s="26">
        <f>H15+I15</f>
        <v>52744640.269999996</v>
      </c>
      <c r="H15" s="302">
        <v>52209276.899999999</v>
      </c>
      <c r="I15" s="302">
        <v>535363.37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9561000</v>
      </c>
      <c r="F17" s="304">
        <v>53332300.829999998</v>
      </c>
      <c r="G17" s="26">
        <f>H17+I17</f>
        <v>52785536.630000003</v>
      </c>
      <c r="H17" s="302">
        <v>51925668.560000002</v>
      </c>
      <c r="I17" s="302">
        <v>859868.07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15320</v>
      </c>
      <c r="H21" s="30">
        <v>0</v>
      </c>
      <c r="I21" s="30">
        <v>15320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25576.360000006855</v>
      </c>
      <c r="H23" s="91">
        <f>H17-H15-H21</f>
        <v>-283608.33999999613</v>
      </c>
      <c r="I23" s="91">
        <f>I17-I15-I21</f>
        <v>309184.69999999995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25576.36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5576.36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s="174" customFormat="1" ht="15" customHeight="1" x14ac:dyDescent="0.2">
      <c r="A31" s="435"/>
      <c r="B31" s="436"/>
      <c r="C31" s="436"/>
      <c r="D31" s="436"/>
      <c r="E31" s="436"/>
      <c r="F31" s="436"/>
      <c r="G31" s="436"/>
      <c r="H31" s="436"/>
      <c r="I31" s="436"/>
    </row>
    <row r="32" spans="1:9" s="174" customFormat="1" x14ac:dyDescent="0.2">
      <c r="A32" s="436"/>
      <c r="B32" s="436"/>
      <c r="C32" s="436"/>
      <c r="D32" s="436"/>
      <c r="E32" s="436"/>
      <c r="F32" s="436"/>
      <c r="G32" s="436"/>
      <c r="H32" s="436"/>
      <c r="I32" s="436"/>
    </row>
    <row r="33" spans="1:10" s="174" customFormat="1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69000</v>
      </c>
      <c r="G36" s="110">
        <v>56200</v>
      </c>
      <c r="H36" s="305"/>
      <c r="I36" s="111">
        <f>G36/F36</f>
        <v>0.8144927536231884</v>
      </c>
      <c r="J36" s="246"/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532195</v>
      </c>
      <c r="G37" s="110">
        <v>532195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403195</v>
      </c>
      <c r="G39" s="110">
        <v>403195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0">
        <v>90000</v>
      </c>
      <c r="G40" s="110">
        <v>90000</v>
      </c>
      <c r="H40" s="305"/>
      <c r="I40" s="114" t="s">
        <v>225</v>
      </c>
    </row>
    <row r="41" spans="1:10" ht="15" customHeight="1" x14ac:dyDescent="0.2">
      <c r="A41" s="429"/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5" customHeight="1" x14ac:dyDescent="0.2">
      <c r="A42" s="117"/>
      <c r="B42" s="117"/>
      <c r="C42" s="117"/>
      <c r="D42" s="117"/>
      <c r="E42" s="117"/>
      <c r="F42" s="117"/>
      <c r="G42" s="117"/>
      <c r="H42" s="117"/>
      <c r="I42" s="117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0</v>
      </c>
      <c r="F48" s="123">
        <v>4000</v>
      </c>
      <c r="G48" s="124">
        <v>4000</v>
      </c>
      <c r="H48" s="124">
        <f>E48+F48-G48</f>
        <v>0</v>
      </c>
      <c r="I48" s="125">
        <v>0</v>
      </c>
    </row>
    <row r="49" spans="1:9" x14ac:dyDescent="0.2">
      <c r="A49" s="126"/>
      <c r="B49" s="127"/>
      <c r="C49" s="127" t="s">
        <v>8</v>
      </c>
      <c r="D49" s="127"/>
      <c r="E49" s="128">
        <v>62377.279999999999</v>
      </c>
      <c r="F49" s="129">
        <v>291095</v>
      </c>
      <c r="G49" s="130">
        <v>216784</v>
      </c>
      <c r="H49" s="130">
        <f>E49+F49-G49</f>
        <v>136688.28000000003</v>
      </c>
      <c r="I49" s="131">
        <v>139423.01</v>
      </c>
    </row>
    <row r="50" spans="1:9" x14ac:dyDescent="0.2">
      <c r="A50" s="126"/>
      <c r="B50" s="127"/>
      <c r="C50" s="127" t="s">
        <v>7</v>
      </c>
      <c r="D50" s="127"/>
      <c r="E50" s="128">
        <v>939263.27</v>
      </c>
      <c r="F50" s="129">
        <f>1123.62+1992617.8</f>
        <v>1993741.4200000002</v>
      </c>
      <c r="G50" s="148">
        <v>486214.26</v>
      </c>
      <c r="H50" s="130">
        <f t="shared" ref="H50:H51" si="0">E50+F50-G50</f>
        <v>2446790.4300000006</v>
      </c>
      <c r="I50" s="131">
        <f>1123.62+1800392.2</f>
        <v>1801515.82</v>
      </c>
    </row>
    <row r="51" spans="1:9" x14ac:dyDescent="0.2">
      <c r="A51" s="126"/>
      <c r="B51" s="127"/>
      <c r="C51" s="127" t="s">
        <v>15</v>
      </c>
      <c r="D51" s="127"/>
      <c r="E51" s="128">
        <v>257218.05</v>
      </c>
      <c r="F51" s="129">
        <v>594466.65</v>
      </c>
      <c r="G51" s="130">
        <v>493195</v>
      </c>
      <c r="H51" s="130">
        <f t="shared" si="0"/>
        <v>358489.69999999995</v>
      </c>
      <c r="I51" s="131">
        <v>230801.8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SUM(E48:E51)</f>
        <v>1258858.6000000001</v>
      </c>
      <c r="F52" s="135">
        <f>F48+F49+F50+F51</f>
        <v>2883303.07</v>
      </c>
      <c r="G52" s="135">
        <f>G48+G49+G50+G51</f>
        <v>1200193.26</v>
      </c>
      <c r="H52" s="135">
        <f>H48+H49+H50+H51</f>
        <v>2941968.4100000011</v>
      </c>
      <c r="I52" s="136">
        <f>I48+I49+I50+I51</f>
        <v>2171740.63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4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3" tint="0.59999389629810485"/>
  </sheetPr>
  <dimension ref="A1:I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5703125" style="55" customWidth="1"/>
    <col min="10" max="10" width="18.85546875" style="56" customWidth="1"/>
    <col min="11" max="11" width="16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128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158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159</v>
      </c>
      <c r="F6" s="62"/>
      <c r="G6" s="63" t="s">
        <v>39</v>
      </c>
      <c r="H6" s="64">
        <v>1103</v>
      </c>
    </row>
    <row r="7" spans="1:9" ht="6.7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4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10856000</v>
      </c>
      <c r="F15" s="303">
        <v>59839756.039999999</v>
      </c>
      <c r="G15" s="26">
        <f>H15+I15</f>
        <v>61503708.079999998</v>
      </c>
      <c r="H15" s="302">
        <v>60938382.609999999</v>
      </c>
      <c r="I15" s="302">
        <v>565325.47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10856000</v>
      </c>
      <c r="F17" s="303">
        <v>59839756.039999999</v>
      </c>
      <c r="G17" s="26">
        <f>H17+I17</f>
        <v>62058389.25</v>
      </c>
      <c r="H17" s="302">
        <v>60852461.600000001</v>
      </c>
      <c r="I17" s="302">
        <v>1205927.6499999999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72960</v>
      </c>
      <c r="H21" s="30">
        <v>0</v>
      </c>
      <c r="I21" s="30">
        <v>72960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481721.17000000179</v>
      </c>
      <c r="H23" s="91">
        <f>H17-H15-H21</f>
        <v>-85921.009999997914</v>
      </c>
      <c r="I23" s="91">
        <f>I17-I15-I21</f>
        <v>567642.17999999993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481721.17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0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481721.17</v>
      </c>
      <c r="H30" s="101"/>
      <c r="I30" s="95"/>
    </row>
    <row r="31" spans="1:9" ht="12.75" customHeight="1" x14ac:dyDescent="0.2">
      <c r="A31" s="435" t="s">
        <v>320</v>
      </c>
      <c r="B31" s="436"/>
      <c r="C31" s="436"/>
      <c r="D31" s="436"/>
      <c r="E31" s="436"/>
      <c r="F31" s="436"/>
      <c r="G31" s="436"/>
      <c r="H31" s="436"/>
      <c r="I31" s="436"/>
    </row>
    <row r="32" spans="1:9" x14ac:dyDescent="0.2">
      <c r="A32" s="436"/>
      <c r="B32" s="436"/>
      <c r="C32" s="436"/>
      <c r="D32" s="436"/>
      <c r="E32" s="436"/>
      <c r="F32" s="436"/>
      <c r="G32" s="436"/>
      <c r="H32" s="436"/>
      <c r="I32" s="436"/>
    </row>
    <row r="33" spans="1:9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9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9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9" ht="16.5" x14ac:dyDescent="0.35">
      <c r="A36" s="108" t="s">
        <v>32</v>
      </c>
      <c r="B36" s="109"/>
      <c r="C36" s="2"/>
      <c r="D36" s="109"/>
      <c r="E36" s="81"/>
      <c r="F36" s="110">
        <v>13600</v>
      </c>
      <c r="G36" s="110">
        <v>13600</v>
      </c>
      <c r="H36" s="305"/>
      <c r="I36" s="111">
        <f>G36/F36</f>
        <v>1</v>
      </c>
    </row>
    <row r="37" spans="1:9" ht="16.5" x14ac:dyDescent="0.35">
      <c r="A37" s="108" t="s">
        <v>117</v>
      </c>
      <c r="B37" s="109"/>
      <c r="C37" s="2"/>
      <c r="D37" s="112"/>
      <c r="E37" s="112"/>
      <c r="F37" s="110">
        <v>2437899</v>
      </c>
      <c r="G37" s="110">
        <v>2397258</v>
      </c>
      <c r="H37" s="305"/>
      <c r="I37" s="111">
        <f>G37/F37</f>
        <v>0.98332949806370162</v>
      </c>
    </row>
    <row r="38" spans="1:9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9" ht="16.5" x14ac:dyDescent="0.35">
      <c r="A39" s="108" t="s">
        <v>220</v>
      </c>
      <c r="B39" s="109"/>
      <c r="C39" s="2"/>
      <c r="D39" s="81"/>
      <c r="E39" s="81"/>
      <c r="F39" s="110">
        <v>1827675</v>
      </c>
      <c r="G39" s="110">
        <v>1827675</v>
      </c>
      <c r="H39" s="305"/>
      <c r="I39" s="111">
        <f>G39/F39</f>
        <v>1</v>
      </c>
    </row>
    <row r="40" spans="1:9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64"/>
      <c r="I40" s="114" t="s">
        <v>225</v>
      </c>
    </row>
    <row r="41" spans="1:9" s="390" customFormat="1" x14ac:dyDescent="0.2">
      <c r="A41" s="437" t="s">
        <v>308</v>
      </c>
      <c r="B41" s="438"/>
      <c r="C41" s="438"/>
      <c r="D41" s="438"/>
      <c r="E41" s="438"/>
      <c r="F41" s="438"/>
      <c r="G41" s="438"/>
      <c r="H41" s="438"/>
      <c r="I41" s="438"/>
    </row>
    <row r="42" spans="1:9" x14ac:dyDescent="0.2">
      <c r="A42" s="437"/>
      <c r="B42" s="438"/>
      <c r="C42" s="438"/>
      <c r="D42" s="438"/>
      <c r="E42" s="438"/>
      <c r="F42" s="438"/>
      <c r="G42" s="438"/>
      <c r="H42" s="438"/>
      <c r="I42" s="438"/>
    </row>
    <row r="43" spans="1:9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9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9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9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9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9" ht="13.5" thickTop="1" x14ac:dyDescent="0.2">
      <c r="A48" s="120"/>
      <c r="B48" s="121"/>
      <c r="C48" s="121" t="s">
        <v>6</v>
      </c>
      <c r="D48" s="121"/>
      <c r="E48" s="122">
        <v>0</v>
      </c>
      <c r="F48" s="123">
        <v>0</v>
      </c>
      <c r="G48" s="124">
        <v>0</v>
      </c>
      <c r="H48" s="124">
        <f>E48+F48-G48</f>
        <v>0</v>
      </c>
      <c r="I48" s="125">
        <f>H48</f>
        <v>0</v>
      </c>
    </row>
    <row r="49" spans="1:9" x14ac:dyDescent="0.2">
      <c r="A49" s="126"/>
      <c r="B49" s="127"/>
      <c r="C49" s="127" t="s">
        <v>8</v>
      </c>
      <c r="D49" s="127"/>
      <c r="E49" s="128">
        <v>313299.67</v>
      </c>
      <c r="F49" s="129">
        <v>336374.12</v>
      </c>
      <c r="G49" s="130">
        <v>503820</v>
      </c>
      <c r="H49" s="130">
        <f>E49+F49-G49</f>
        <v>145853.79000000004</v>
      </c>
      <c r="I49" s="131">
        <v>89033.67</v>
      </c>
    </row>
    <row r="50" spans="1:9" x14ac:dyDescent="0.2">
      <c r="A50" s="126"/>
      <c r="B50" s="127"/>
      <c r="C50" s="127" t="s">
        <v>7</v>
      </c>
      <c r="D50" s="127"/>
      <c r="E50" s="128">
        <v>776138.73</v>
      </c>
      <c r="F50" s="129">
        <v>1628493.94</v>
      </c>
      <c r="G50" s="130">
        <v>775375.73</v>
      </c>
      <c r="H50" s="130">
        <f t="shared" ref="H50:H51" si="0">E50+F50-G50</f>
        <v>1629256.94</v>
      </c>
      <c r="I50" s="131">
        <f>H50</f>
        <v>1629256.94</v>
      </c>
    </row>
    <row r="51" spans="1:9" x14ac:dyDescent="0.2">
      <c r="A51" s="126"/>
      <c r="B51" s="127"/>
      <c r="C51" s="127" t="s">
        <v>15</v>
      </c>
      <c r="D51" s="127"/>
      <c r="E51" s="128">
        <v>345216.84</v>
      </c>
      <c r="F51" s="129">
        <v>2433558</v>
      </c>
      <c r="G51" s="130">
        <v>2417637.86</v>
      </c>
      <c r="H51" s="130">
        <f t="shared" si="0"/>
        <v>361136.98</v>
      </c>
      <c r="I51" s="131">
        <f>H51</f>
        <v>361136.98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1434655.24</v>
      </c>
      <c r="F52" s="135">
        <f>F48+F49+F50+F51</f>
        <v>4398426.0600000005</v>
      </c>
      <c r="G52" s="135">
        <f>G48+G49+G50+G51</f>
        <v>3696833.59</v>
      </c>
      <c r="H52" s="135">
        <f>H48+H49+H50+H51</f>
        <v>2136247.71</v>
      </c>
      <c r="I52" s="136">
        <f>I48+I49+I50+I51</f>
        <v>2079427.5899999999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2">
    <mergeCell ref="F45:F46"/>
    <mergeCell ref="E5:I5"/>
    <mergeCell ref="E7:I7"/>
    <mergeCell ref="H12:I12"/>
    <mergeCell ref="A31:I33"/>
    <mergeCell ref="A41:I41"/>
    <mergeCell ref="A42:I42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122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160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161</v>
      </c>
      <c r="F6" s="62"/>
      <c r="G6" s="63" t="s">
        <v>39</v>
      </c>
      <c r="H6" s="64">
        <v>1104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28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7950000</v>
      </c>
      <c r="F15" s="303">
        <v>27707692.68</v>
      </c>
      <c r="G15" s="26">
        <f>H15+I15</f>
        <v>27062012.940000001</v>
      </c>
      <c r="H15" s="302">
        <v>26295554.050000001</v>
      </c>
      <c r="I15" s="302">
        <v>766458.89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8064000</v>
      </c>
      <c r="F17" s="303">
        <v>27752003.68</v>
      </c>
      <c r="G17" s="26">
        <f>H17+I17</f>
        <v>27081772.73</v>
      </c>
      <c r="H17" s="302">
        <v>26276786.73</v>
      </c>
      <c r="I17" s="302">
        <v>804986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19759.789999999106</v>
      </c>
      <c r="H23" s="91">
        <f>H17-H15-H21</f>
        <v>-18767.320000000298</v>
      </c>
      <c r="I23" s="91">
        <f>I17-I15-I21</f>
        <v>38527.109999999986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19759.79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3853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15906.79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ht="12.75" customHeight="1" x14ac:dyDescent="0.2">
      <c r="A31" s="439"/>
      <c r="B31" s="440"/>
      <c r="C31" s="440"/>
      <c r="D31" s="440"/>
      <c r="E31" s="440"/>
      <c r="F31" s="440"/>
      <c r="G31" s="440"/>
      <c r="H31" s="440"/>
      <c r="I31" s="440"/>
    </row>
    <row r="32" spans="1:9" x14ac:dyDescent="0.2">
      <c r="A32" s="440"/>
      <c r="B32" s="440"/>
      <c r="C32" s="440"/>
      <c r="D32" s="440"/>
      <c r="E32" s="440"/>
      <c r="F32" s="440"/>
      <c r="G32" s="440"/>
      <c r="H32" s="440"/>
      <c r="I32" s="440"/>
    </row>
    <row r="33" spans="1:10" x14ac:dyDescent="0.2">
      <c r="A33" s="440"/>
      <c r="B33" s="440"/>
      <c r="C33" s="440"/>
      <c r="D33" s="440"/>
      <c r="E33" s="440"/>
      <c r="F33" s="440"/>
      <c r="G33" s="440"/>
      <c r="H33" s="440"/>
      <c r="I33" s="440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4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1475942</v>
      </c>
      <c r="G37" s="110">
        <v>1483604</v>
      </c>
      <c r="H37" s="305"/>
      <c r="I37" s="111">
        <f>G37/F37</f>
        <v>1.0051912609032063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1106457</v>
      </c>
      <c r="G39" s="110">
        <v>1106457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0">
        <v>339000</v>
      </c>
      <c r="G40" s="110">
        <v>339000</v>
      </c>
      <c r="H40" s="305"/>
      <c r="I40" s="114" t="s">
        <v>225</v>
      </c>
    </row>
    <row r="41" spans="1:10" s="308" customFormat="1" x14ac:dyDescent="0.2">
      <c r="A41" s="429" t="s">
        <v>301</v>
      </c>
      <c r="B41" s="423"/>
      <c r="C41" s="423"/>
      <c r="D41" s="423"/>
      <c r="E41" s="423"/>
      <c r="F41" s="423"/>
      <c r="G41" s="423"/>
      <c r="H41" s="423"/>
      <c r="I41" s="423"/>
    </row>
    <row r="42" spans="1:10" ht="18" x14ac:dyDescent="0.35">
      <c r="A42" s="108"/>
      <c r="B42" s="151"/>
      <c r="C42" s="151"/>
      <c r="D42" s="152"/>
      <c r="E42" s="152"/>
      <c r="F42" s="153"/>
      <c r="G42" s="154"/>
      <c r="H42" s="94"/>
      <c r="I42" s="155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0</v>
      </c>
      <c r="F48" s="123">
        <v>16297</v>
      </c>
      <c r="G48" s="124">
        <v>11200</v>
      </c>
      <c r="H48" s="124">
        <f>E48+F48-G48</f>
        <v>5097</v>
      </c>
      <c r="I48" s="125">
        <f>H48</f>
        <v>5097</v>
      </c>
    </row>
    <row r="49" spans="1:9" x14ac:dyDescent="0.2">
      <c r="A49" s="126"/>
      <c r="B49" s="127"/>
      <c r="C49" s="127" t="s">
        <v>8</v>
      </c>
      <c r="D49" s="127"/>
      <c r="E49" s="128">
        <v>248751.72</v>
      </c>
      <c r="F49" s="129">
        <v>138643</v>
      </c>
      <c r="G49" s="130">
        <v>157082</v>
      </c>
      <c r="H49" s="130">
        <f>E49+F49-G49</f>
        <v>230312.71999999997</v>
      </c>
      <c r="I49" s="131">
        <v>213570.89</v>
      </c>
    </row>
    <row r="50" spans="1:9" x14ac:dyDescent="0.2">
      <c r="A50" s="126"/>
      <c r="B50" s="127"/>
      <c r="C50" s="127" t="s">
        <v>7</v>
      </c>
      <c r="D50" s="127"/>
      <c r="E50" s="128">
        <v>148758.88</v>
      </c>
      <c r="F50" s="129">
        <f>70595.53+1336352.41</f>
        <v>1406947.94</v>
      </c>
      <c r="G50" s="130">
        <f>3000+79347</f>
        <v>82347</v>
      </c>
      <c r="H50" s="130">
        <f t="shared" ref="H50:H51" si="0">E50+F50-G50</f>
        <v>1473359.8199999998</v>
      </c>
      <c r="I50" s="131">
        <f t="shared" ref="I50:I51" si="1">H50</f>
        <v>1473359.8199999998</v>
      </c>
    </row>
    <row r="51" spans="1:9" x14ac:dyDescent="0.2">
      <c r="A51" s="126"/>
      <c r="B51" s="127"/>
      <c r="C51" s="127" t="s">
        <v>15</v>
      </c>
      <c r="D51" s="127"/>
      <c r="E51" s="128">
        <v>552878.66</v>
      </c>
      <c r="F51" s="129">
        <v>1587644</v>
      </c>
      <c r="G51" s="130">
        <v>1767973</v>
      </c>
      <c r="H51" s="130">
        <f t="shared" si="0"/>
        <v>372549.66000000015</v>
      </c>
      <c r="I51" s="131">
        <f t="shared" si="1"/>
        <v>372549.66000000015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950389.26</v>
      </c>
      <c r="F52" s="135">
        <f>F48+F49+F50+F51</f>
        <v>3149531.94</v>
      </c>
      <c r="G52" s="135">
        <f>G48+G49+G50+G51</f>
        <v>2018602</v>
      </c>
      <c r="H52" s="135">
        <f>H48+H49+H50+H51</f>
        <v>2081319.2</v>
      </c>
      <c r="I52" s="136">
        <f>I48+I49+I50+I51</f>
        <v>2064577.37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idden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A2:D2"/>
    <mergeCell ref="E2:I2"/>
    <mergeCell ref="E3:I3"/>
    <mergeCell ref="E4:I4"/>
    <mergeCell ref="F45:F46"/>
    <mergeCell ref="E5:I5"/>
    <mergeCell ref="E7:I7"/>
    <mergeCell ref="H12:I12"/>
    <mergeCell ref="A31:I33"/>
    <mergeCell ref="H43:I43"/>
    <mergeCell ref="A41:I41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129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162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163</v>
      </c>
      <c r="F6" s="62"/>
      <c r="G6" s="63" t="s">
        <v>39</v>
      </c>
      <c r="H6" s="64">
        <v>1105</v>
      </c>
    </row>
    <row r="7" spans="1:9" ht="9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34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3463000</v>
      </c>
      <c r="F15" s="303">
        <v>18562133.27</v>
      </c>
      <c r="G15" s="26">
        <f>H15+I15</f>
        <v>18562133.27</v>
      </c>
      <c r="H15" s="302">
        <v>17945549.629999999</v>
      </c>
      <c r="I15" s="302">
        <v>616583.64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3463000</v>
      </c>
      <c r="F17" s="303">
        <v>18709133.210000001</v>
      </c>
      <c r="G17" s="26">
        <f>H17+I17</f>
        <v>18661744.209999997</v>
      </c>
      <c r="H17" s="302">
        <v>17945549.629999999</v>
      </c>
      <c r="I17" s="302">
        <v>716194.58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99610.939999997616</v>
      </c>
      <c r="H23" s="91">
        <f>H17-H15-H21</f>
        <v>0</v>
      </c>
      <c r="I23" s="91">
        <f>I17-I15-I21</f>
        <v>99610.939999999944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99610.94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84610.94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821759</v>
      </c>
      <c r="G37" s="110">
        <v>821759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615820</v>
      </c>
      <c r="G39" s="110">
        <v>615820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171"/>
      <c r="B41" s="117"/>
      <c r="C41" s="117"/>
      <c r="D41" s="117"/>
      <c r="E41" s="117"/>
      <c r="F41" s="117"/>
      <c r="G41" s="117"/>
      <c r="H41" s="117"/>
      <c r="I41" s="117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61000</v>
      </c>
      <c r="F48" s="123">
        <v>10000</v>
      </c>
      <c r="G48" s="124">
        <v>17405</v>
      </c>
      <c r="H48" s="124">
        <f>E48+F48-G48</f>
        <v>53595</v>
      </c>
      <c r="I48" s="125">
        <f>H48</f>
        <v>53595</v>
      </c>
    </row>
    <row r="49" spans="1:9" x14ac:dyDescent="0.2">
      <c r="A49" s="126"/>
      <c r="B49" s="127"/>
      <c r="C49" s="127" t="s">
        <v>8</v>
      </c>
      <c r="D49" s="127"/>
      <c r="E49" s="128">
        <v>81740.759999999995</v>
      </c>
      <c r="F49" s="129">
        <v>102004</v>
      </c>
      <c r="G49" s="130">
        <v>101053</v>
      </c>
      <c r="H49" s="130">
        <f>E49+F49-G49</f>
        <v>82691.760000000009</v>
      </c>
      <c r="I49" s="131">
        <v>77891.990000000005</v>
      </c>
    </row>
    <row r="50" spans="1:9" x14ac:dyDescent="0.2">
      <c r="A50" s="126"/>
      <c r="B50" s="127"/>
      <c r="C50" s="127" t="s">
        <v>7</v>
      </c>
      <c r="D50" s="127"/>
      <c r="E50" s="128">
        <v>238811.56</v>
      </c>
      <c r="F50" s="129">
        <f>133762.96+78639.02+499426.48</f>
        <v>711828.46</v>
      </c>
      <c r="G50" s="130">
        <f>168548.63+165070.36</f>
        <v>333618.99</v>
      </c>
      <c r="H50" s="130">
        <f t="shared" ref="H50:H51" si="0">E50+F50-G50</f>
        <v>617021.03</v>
      </c>
      <c r="I50" s="131">
        <f>H50</f>
        <v>617021.03</v>
      </c>
    </row>
    <row r="51" spans="1:9" x14ac:dyDescent="0.2">
      <c r="A51" s="126"/>
      <c r="B51" s="127"/>
      <c r="C51" s="127" t="s">
        <v>15</v>
      </c>
      <c r="D51" s="127"/>
      <c r="E51" s="128">
        <v>419120.43</v>
      </c>
      <c r="F51" s="129">
        <v>901014</v>
      </c>
      <c r="G51" s="130">
        <v>645820</v>
      </c>
      <c r="H51" s="130">
        <f t="shared" si="0"/>
        <v>674314.42999999993</v>
      </c>
      <c r="I51" s="131">
        <f>H51</f>
        <v>674314.42999999993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800672.75</v>
      </c>
      <c r="F52" s="135">
        <f>F48+F49+F50+F51</f>
        <v>1724846.46</v>
      </c>
      <c r="G52" s="135">
        <f>G48+G49+G50+G51</f>
        <v>1097896.99</v>
      </c>
      <c r="H52" s="135">
        <f>H48+H49+H50+H51</f>
        <v>1427622.22</v>
      </c>
      <c r="I52" s="136">
        <f>I48+I49+I50+I51</f>
        <v>1422822.45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0">
    <mergeCell ref="A2:D2"/>
    <mergeCell ref="E2:I2"/>
    <mergeCell ref="E3:I3"/>
    <mergeCell ref="E4:I4"/>
    <mergeCell ref="F45:F46"/>
    <mergeCell ref="E5:I5"/>
    <mergeCell ref="E7:I7"/>
    <mergeCell ref="H12:I12"/>
    <mergeCell ref="A31:I3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34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164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165</v>
      </c>
      <c r="F6" s="62"/>
      <c r="G6" s="63" t="s">
        <v>39</v>
      </c>
      <c r="H6" s="64">
        <v>1120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29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3637000</v>
      </c>
      <c r="F15" s="303">
        <v>29862251.23</v>
      </c>
      <c r="G15" s="26">
        <f>H15+I15</f>
        <v>29055340</v>
      </c>
      <c r="H15" s="302">
        <v>28924624</v>
      </c>
      <c r="I15" s="302">
        <v>130716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3637000</v>
      </c>
      <c r="F17" s="303">
        <v>29862251.23</v>
      </c>
      <c r="G17" s="26">
        <f>H17+I17</f>
        <v>29131094.620000001</v>
      </c>
      <c r="H17" s="302">
        <v>28987886.620000001</v>
      </c>
      <c r="I17" s="302">
        <v>143208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75754.620000001043</v>
      </c>
      <c r="H23" s="91">
        <f>H17-H15-H21</f>
        <v>63262.620000001043</v>
      </c>
      <c r="I23" s="91">
        <f>I17-I15-I21</f>
        <v>12492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75754.62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60754.62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ht="12.75" customHeight="1" x14ac:dyDescent="0.2">
      <c r="A31" s="441"/>
      <c r="B31" s="442"/>
      <c r="C31" s="442"/>
      <c r="D31" s="442"/>
      <c r="E31" s="442"/>
      <c r="F31" s="442"/>
      <c r="G31" s="442"/>
      <c r="H31" s="442"/>
      <c r="I31" s="442"/>
    </row>
    <row r="32" spans="1:9" x14ac:dyDescent="0.2">
      <c r="A32" s="442"/>
      <c r="B32" s="442"/>
      <c r="C32" s="442"/>
      <c r="D32" s="442"/>
      <c r="E32" s="442"/>
      <c r="F32" s="442"/>
      <c r="G32" s="442"/>
      <c r="H32" s="442"/>
      <c r="I32" s="442"/>
    </row>
    <row r="33" spans="1:10" x14ac:dyDescent="0.2">
      <c r="A33" s="442"/>
      <c r="B33" s="442"/>
      <c r="C33" s="442"/>
      <c r="D33" s="442"/>
      <c r="E33" s="442"/>
      <c r="F33" s="442"/>
      <c r="G33" s="442"/>
      <c r="H33" s="442"/>
      <c r="I33" s="442"/>
    </row>
    <row r="34" spans="1:10" x14ac:dyDescent="0.2">
      <c r="A34" s="102"/>
      <c r="B34" s="102"/>
      <c r="C34" s="102"/>
      <c r="D34" s="102"/>
      <c r="E34" s="102"/>
      <c r="F34" s="102"/>
      <c r="G34" s="102"/>
      <c r="H34" s="102"/>
      <c r="I34" s="102"/>
    </row>
    <row r="35" spans="1:10" ht="19.5" x14ac:dyDescent="0.4">
      <c r="A35" s="77" t="s">
        <v>30</v>
      </c>
      <c r="B35" s="77" t="s">
        <v>31</v>
      </c>
      <c r="C35" s="77"/>
      <c r="D35" s="103"/>
      <c r="E35" s="81"/>
      <c r="F35" s="3"/>
      <c r="G35" s="104"/>
      <c r="H35" s="95"/>
      <c r="I35" s="95"/>
    </row>
    <row r="36" spans="1:10" ht="18.75" x14ac:dyDescent="0.4">
      <c r="A36" s="77"/>
      <c r="B36" s="77"/>
      <c r="C36" s="77"/>
      <c r="D36" s="103"/>
      <c r="F36" s="105" t="s">
        <v>115</v>
      </c>
      <c r="G36" s="106" t="s">
        <v>0</v>
      </c>
      <c r="H36" s="72"/>
      <c r="I36" s="107" t="s">
        <v>116</v>
      </c>
    </row>
    <row r="37" spans="1:10" ht="16.5" x14ac:dyDescent="0.35">
      <c r="A37" s="108" t="s">
        <v>32</v>
      </c>
      <c r="B37" s="109"/>
      <c r="C37" s="2"/>
      <c r="D37" s="109"/>
      <c r="E37" s="81"/>
      <c r="F37" s="110">
        <v>0</v>
      </c>
      <c r="G37" s="110">
        <v>0</v>
      </c>
      <c r="H37" s="305"/>
      <c r="I37" s="111" t="s">
        <v>225</v>
      </c>
    </row>
    <row r="38" spans="1:10" ht="16.5" x14ac:dyDescent="0.35">
      <c r="A38" s="108" t="s">
        <v>117</v>
      </c>
      <c r="B38" s="109"/>
      <c r="C38" s="2"/>
      <c r="D38" s="112"/>
      <c r="E38" s="112"/>
      <c r="F38" s="110">
        <v>357400</v>
      </c>
      <c r="G38" s="110">
        <v>357342</v>
      </c>
      <c r="H38" s="305"/>
      <c r="I38" s="111">
        <f>G38/F38</f>
        <v>0.99983771684387246</v>
      </c>
    </row>
    <row r="39" spans="1:10" ht="16.5" x14ac:dyDescent="0.35">
      <c r="A39" s="108" t="s">
        <v>118</v>
      </c>
      <c r="B39" s="109"/>
      <c r="C39" s="2"/>
      <c r="D39" s="112"/>
      <c r="E39" s="112"/>
      <c r="F39" s="110">
        <v>0</v>
      </c>
      <c r="G39" s="110">
        <v>0</v>
      </c>
      <c r="H39" s="305"/>
      <c r="I39" s="114" t="s">
        <v>225</v>
      </c>
    </row>
    <row r="40" spans="1:10" ht="16.5" x14ac:dyDescent="0.35">
      <c r="A40" s="108" t="s">
        <v>220</v>
      </c>
      <c r="B40" s="109"/>
      <c r="C40" s="2"/>
      <c r="D40" s="81"/>
      <c r="E40" s="81"/>
      <c r="F40" s="110">
        <v>267800</v>
      </c>
      <c r="G40" s="110">
        <v>267800</v>
      </c>
      <c r="H40" s="305" t="s">
        <v>310</v>
      </c>
      <c r="I40" s="111">
        <f>G40/F40</f>
        <v>1</v>
      </c>
    </row>
    <row r="41" spans="1:10" ht="18" x14ac:dyDescent="0.35">
      <c r="A41" s="108" t="s">
        <v>221</v>
      </c>
      <c r="B41" s="151"/>
      <c r="C41" s="151"/>
      <c r="D41" s="152"/>
      <c r="E41" s="152"/>
      <c r="F41" s="110">
        <v>100000</v>
      </c>
      <c r="G41" s="154">
        <v>100000</v>
      </c>
      <c r="H41" s="305"/>
      <c r="I41" s="173" t="s">
        <v>225</v>
      </c>
      <c r="J41" s="58"/>
    </row>
    <row r="42" spans="1:10" ht="19.5" customHeight="1" x14ac:dyDescent="0.2">
      <c r="A42" s="443" t="s">
        <v>314</v>
      </c>
      <c r="B42" s="443"/>
      <c r="C42" s="443"/>
      <c r="D42" s="443"/>
      <c r="E42" s="443"/>
      <c r="F42" s="443"/>
      <c r="G42" s="443"/>
      <c r="H42" s="443"/>
      <c r="I42" s="443"/>
    </row>
    <row r="43" spans="1:10" x14ac:dyDescent="0.2">
      <c r="A43" s="247"/>
      <c r="B43" s="247"/>
      <c r="C43" s="247"/>
      <c r="D43" s="247"/>
      <c r="E43" s="247"/>
      <c r="F43" s="247"/>
      <c r="G43" s="247"/>
      <c r="H43" s="247"/>
      <c r="I43" s="247"/>
    </row>
    <row r="44" spans="1:10" ht="19.5" thickBot="1" x14ac:dyDescent="0.45">
      <c r="A44" s="77" t="s">
        <v>11</v>
      </c>
      <c r="B44" s="77" t="s">
        <v>12</v>
      </c>
      <c r="C44" s="79"/>
      <c r="D44" s="81"/>
      <c r="E44" s="81"/>
      <c r="F44" s="118"/>
      <c r="G44" s="119"/>
      <c r="H44" s="419" t="s">
        <v>119</v>
      </c>
      <c r="I44" s="420"/>
    </row>
    <row r="45" spans="1:10" ht="18.75" thickTop="1" x14ac:dyDescent="0.35">
      <c r="A45" s="281"/>
      <c r="B45" s="282"/>
      <c r="C45" s="283"/>
      <c r="D45" s="282"/>
      <c r="E45" s="284" t="s">
        <v>288</v>
      </c>
      <c r="F45" s="285" t="s">
        <v>9</v>
      </c>
      <c r="G45" s="286" t="s">
        <v>10</v>
      </c>
      <c r="H45" s="287" t="s">
        <v>13</v>
      </c>
      <c r="I45" s="288" t="s">
        <v>120</v>
      </c>
    </row>
    <row r="46" spans="1:10" x14ac:dyDescent="0.2">
      <c r="A46" s="289"/>
      <c r="B46" s="290"/>
      <c r="C46" s="290"/>
      <c r="D46" s="290"/>
      <c r="E46" s="289"/>
      <c r="F46" s="415"/>
      <c r="G46" s="291"/>
      <c r="H46" s="292">
        <v>41274</v>
      </c>
      <c r="I46" s="293">
        <v>41274</v>
      </c>
    </row>
    <row r="47" spans="1:10" x14ac:dyDescent="0.2">
      <c r="A47" s="289"/>
      <c r="B47" s="290"/>
      <c r="C47" s="290"/>
      <c r="D47" s="290"/>
      <c r="E47" s="289"/>
      <c r="F47" s="415"/>
      <c r="G47" s="294"/>
      <c r="H47" s="294"/>
      <c r="I47" s="295"/>
    </row>
    <row r="48" spans="1:10" ht="13.5" thickBot="1" x14ac:dyDescent="0.25">
      <c r="A48" s="296"/>
      <c r="B48" s="297"/>
      <c r="C48" s="297"/>
      <c r="D48" s="297"/>
      <c r="E48" s="296"/>
      <c r="F48" s="298"/>
      <c r="G48" s="299"/>
      <c r="H48" s="299"/>
      <c r="I48" s="300"/>
    </row>
    <row r="49" spans="1:9" ht="13.5" thickTop="1" x14ac:dyDescent="0.2">
      <c r="A49" s="120"/>
      <c r="B49" s="121"/>
      <c r="C49" s="121" t="s">
        <v>6</v>
      </c>
      <c r="D49" s="121"/>
      <c r="E49" s="122">
        <v>12900</v>
      </c>
      <c r="F49" s="123">
        <v>0</v>
      </c>
      <c r="G49" s="124">
        <v>4000</v>
      </c>
      <c r="H49" s="124">
        <f>E49+F49-G49</f>
        <v>8900</v>
      </c>
      <c r="I49" s="125">
        <f>H49</f>
        <v>8900</v>
      </c>
    </row>
    <row r="50" spans="1:9" x14ac:dyDescent="0.2">
      <c r="A50" s="126"/>
      <c r="B50" s="127"/>
      <c r="C50" s="127" t="s">
        <v>8</v>
      </c>
      <c r="D50" s="127"/>
      <c r="E50" s="128">
        <v>203486.45</v>
      </c>
      <c r="F50" s="129">
        <v>166168</v>
      </c>
      <c r="G50" s="130">
        <v>192950</v>
      </c>
      <c r="H50" s="130">
        <f>E50+F50-G50</f>
        <v>176704.45</v>
      </c>
      <c r="I50" s="131">
        <v>149090.65</v>
      </c>
    </row>
    <row r="51" spans="1:9" x14ac:dyDescent="0.2">
      <c r="A51" s="126"/>
      <c r="B51" s="127"/>
      <c r="C51" s="127" t="s">
        <v>7</v>
      </c>
      <c r="D51" s="127"/>
      <c r="E51" s="128">
        <v>195811.65</v>
      </c>
      <c r="F51" s="129">
        <v>733313.83</v>
      </c>
      <c r="G51" s="130">
        <v>126517.92</v>
      </c>
      <c r="H51" s="130">
        <f t="shared" ref="H51:H52" si="0">E51+F51-G51</f>
        <v>802607.55999999994</v>
      </c>
      <c r="I51" s="131">
        <f>733313.83+69293.73</f>
        <v>802607.55999999994</v>
      </c>
    </row>
    <row r="52" spans="1:9" x14ac:dyDescent="0.2">
      <c r="A52" s="126"/>
      <c r="B52" s="127"/>
      <c r="C52" s="127" t="s">
        <v>15</v>
      </c>
      <c r="D52" s="127"/>
      <c r="E52" s="128">
        <v>144725.25</v>
      </c>
      <c r="F52" s="129">
        <v>359203</v>
      </c>
      <c r="G52" s="130">
        <v>367800</v>
      </c>
      <c r="H52" s="130">
        <f t="shared" si="0"/>
        <v>136128.25</v>
      </c>
      <c r="I52" s="131">
        <v>136186.25</v>
      </c>
    </row>
    <row r="53" spans="1:9" ht="18.75" thickBot="1" x14ac:dyDescent="0.4">
      <c r="A53" s="132" t="s">
        <v>2</v>
      </c>
      <c r="B53" s="133"/>
      <c r="C53" s="133"/>
      <c r="D53" s="133"/>
      <c r="E53" s="134">
        <f>E49+E50+E51+E52</f>
        <v>556923.35</v>
      </c>
      <c r="F53" s="135">
        <f>F49+F50+F51+F52</f>
        <v>1258684.83</v>
      </c>
      <c r="G53" s="135">
        <f>G49+G50+G51+G52</f>
        <v>691267.91999999993</v>
      </c>
      <c r="H53" s="135">
        <f>H49+H50+H51+H52</f>
        <v>1124340.26</v>
      </c>
      <c r="I53" s="136">
        <f>I49+I50+I51+I52</f>
        <v>1096784.46</v>
      </c>
    </row>
    <row r="54" spans="1:9" ht="18.75" thickTop="1" x14ac:dyDescent="0.35">
      <c r="A54" s="137"/>
      <c r="B54" s="115"/>
      <c r="C54" s="115"/>
      <c r="D54" s="81"/>
      <c r="E54" s="81"/>
      <c r="F54" s="118"/>
      <c r="G54" s="119"/>
      <c r="H54" s="138"/>
      <c r="I54" s="138"/>
    </row>
    <row r="55" spans="1:9" ht="18" x14ac:dyDescent="0.35">
      <c r="A55" s="137"/>
      <c r="B55" s="115"/>
      <c r="C55" s="115"/>
      <c r="D55" s="81"/>
      <c r="E55" s="81"/>
      <c r="F55" s="118"/>
      <c r="G55" s="139"/>
      <c r="H55" s="140"/>
      <c r="I55" s="140"/>
    </row>
    <row r="56" spans="1:9" ht="18" x14ac:dyDescent="0.35">
      <c r="A56" s="141"/>
      <c r="B56" s="142"/>
      <c r="C56" s="142"/>
      <c r="D56" s="143"/>
      <c r="E56" s="143"/>
      <c r="F56" s="140"/>
      <c r="G56" s="140"/>
      <c r="H56" s="140"/>
      <c r="I56" s="140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x14ac:dyDescent="0.2">
      <c r="A58" s="144"/>
      <c r="B58" s="144"/>
      <c r="C58" s="144"/>
      <c r="D58" s="144"/>
      <c r="E58" s="144"/>
      <c r="F58" s="144"/>
      <c r="G58" s="144"/>
      <c r="H58" s="144"/>
      <c r="I58" s="144"/>
    </row>
  </sheetData>
  <mergeCells count="11">
    <mergeCell ref="F46:F47"/>
    <mergeCell ref="E5:I5"/>
    <mergeCell ref="E7:I7"/>
    <mergeCell ref="H12:I12"/>
    <mergeCell ref="A31:I33"/>
    <mergeCell ref="A42:I42"/>
    <mergeCell ref="A2:D2"/>
    <mergeCell ref="E2:I2"/>
    <mergeCell ref="E3:I3"/>
    <mergeCell ref="E4:I4"/>
    <mergeCell ref="H44:I44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3" tint="0.59999389629810485"/>
  </sheetPr>
  <dimension ref="A1:I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106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264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166</v>
      </c>
      <c r="F6" s="62"/>
      <c r="G6" s="63" t="s">
        <v>39</v>
      </c>
      <c r="H6" s="64">
        <v>1121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1.5" customHeight="1" x14ac:dyDescent="0.4">
      <c r="A8" s="60"/>
      <c r="E8" s="65"/>
      <c r="F8" s="65"/>
      <c r="G8" s="65"/>
      <c r="H8" s="63"/>
      <c r="I8" s="65"/>
    </row>
    <row r="9" spans="1:9" ht="30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3990000</v>
      </c>
      <c r="F15" s="303">
        <v>19370881.190000001</v>
      </c>
      <c r="G15" s="26">
        <f>H15+I15</f>
        <v>20516432.93</v>
      </c>
      <c r="H15" s="302">
        <v>19969752.93</v>
      </c>
      <c r="I15" s="302">
        <v>546680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3990000</v>
      </c>
      <c r="F17" s="303">
        <v>20249116.68</v>
      </c>
      <c r="G17" s="26">
        <f>H17+I17</f>
        <v>20957730.200000003</v>
      </c>
      <c r="H17" s="302">
        <v>19906076.100000001</v>
      </c>
      <c r="I17" s="302">
        <v>1051654.1000000001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16810</v>
      </c>
      <c r="H21" s="30">
        <v>720</v>
      </c>
      <c r="I21" s="30">
        <v>16090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424487.27000000328</v>
      </c>
      <c r="H23" s="91">
        <f>H17-H15-H21</f>
        <v>-64396.829999998212</v>
      </c>
      <c r="I23" s="91">
        <f>I17-I15-I21</f>
        <v>488884.10000000009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424487.27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30000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394487.27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9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9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9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9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4" t="s">
        <v>225</v>
      </c>
    </row>
    <row r="37" spans="1:9" ht="16.5" x14ac:dyDescent="0.35">
      <c r="A37" s="108" t="s">
        <v>117</v>
      </c>
      <c r="B37" s="109"/>
      <c r="C37" s="2"/>
      <c r="D37" s="112"/>
      <c r="E37" s="112"/>
      <c r="F37" s="110">
        <v>529000</v>
      </c>
      <c r="G37" s="110">
        <v>518542</v>
      </c>
      <c r="H37" s="305"/>
      <c r="I37" s="111">
        <f>G37/F37</f>
        <v>0.98023062381852555</v>
      </c>
    </row>
    <row r="38" spans="1:9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9" ht="16.5" x14ac:dyDescent="0.35">
      <c r="A39" s="108" t="s">
        <v>220</v>
      </c>
      <c r="B39" s="109"/>
      <c r="C39" s="2"/>
      <c r="D39" s="81"/>
      <c r="E39" s="81"/>
      <c r="F39" s="110">
        <v>396250</v>
      </c>
      <c r="G39" s="110">
        <v>396250</v>
      </c>
      <c r="H39" s="305"/>
      <c r="I39" s="111">
        <f>G39/F39</f>
        <v>1</v>
      </c>
    </row>
    <row r="40" spans="1:9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9" s="371" customFormat="1" x14ac:dyDescent="0.2">
      <c r="A41" s="444" t="s">
        <v>311</v>
      </c>
      <c r="B41" s="445"/>
      <c r="C41" s="445"/>
      <c r="D41" s="445"/>
      <c r="E41" s="445"/>
      <c r="F41" s="445"/>
      <c r="G41" s="445"/>
      <c r="H41" s="445"/>
      <c r="I41" s="445"/>
    </row>
    <row r="42" spans="1:9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9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9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9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9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9" ht="13.5" thickTop="1" x14ac:dyDescent="0.2">
      <c r="A47" s="120"/>
      <c r="B47" s="121"/>
      <c r="C47" s="121" t="s">
        <v>6</v>
      </c>
      <c r="D47" s="121"/>
      <c r="E47" s="122">
        <v>22800</v>
      </c>
      <c r="F47" s="123">
        <v>15000</v>
      </c>
      <c r="G47" s="124">
        <v>17500</v>
      </c>
      <c r="H47" s="124">
        <f>E47+F47-G47</f>
        <v>20300</v>
      </c>
      <c r="I47" s="125">
        <f>H47</f>
        <v>20300</v>
      </c>
    </row>
    <row r="48" spans="1:9" x14ac:dyDescent="0.2">
      <c r="A48" s="126"/>
      <c r="B48" s="127"/>
      <c r="C48" s="127" t="s">
        <v>8</v>
      </c>
      <c r="D48" s="127"/>
      <c r="E48" s="128">
        <v>89927.33</v>
      </c>
      <c r="F48" s="129">
        <v>96830</v>
      </c>
      <c r="G48" s="130">
        <v>106061.5</v>
      </c>
      <c r="H48" s="130">
        <f>E48+F48-G48</f>
        <v>80695.830000000016</v>
      </c>
      <c r="I48" s="131">
        <v>56808.03</v>
      </c>
    </row>
    <row r="49" spans="1:9" x14ac:dyDescent="0.2">
      <c r="A49" s="126"/>
      <c r="B49" s="127"/>
      <c r="C49" s="127" t="s">
        <v>7</v>
      </c>
      <c r="D49" s="127"/>
      <c r="E49" s="128">
        <v>606416.54</v>
      </c>
      <c r="F49" s="129">
        <f>69372.62+603010.6</f>
        <v>672383.22</v>
      </c>
      <c r="G49" s="130">
        <f>199062.18+254715.79</f>
        <v>453777.97</v>
      </c>
      <c r="H49" s="130">
        <f t="shared" ref="H49:H50" si="0">E49+F49-G49</f>
        <v>825021.79</v>
      </c>
      <c r="I49" s="131">
        <f>H49</f>
        <v>825021.79</v>
      </c>
    </row>
    <row r="50" spans="1:9" x14ac:dyDescent="0.2">
      <c r="A50" s="126"/>
      <c r="B50" s="127"/>
      <c r="C50" s="127" t="s">
        <v>15</v>
      </c>
      <c r="D50" s="127"/>
      <c r="E50" s="128">
        <v>83383</v>
      </c>
      <c r="F50" s="129">
        <v>527943</v>
      </c>
      <c r="G50" s="130">
        <v>396250</v>
      </c>
      <c r="H50" s="130">
        <f t="shared" si="0"/>
        <v>215076</v>
      </c>
      <c r="I50" s="131">
        <v>225534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802526.87</v>
      </c>
      <c r="F51" s="135">
        <f>F47+F48+F49+F50</f>
        <v>1312156.22</v>
      </c>
      <c r="G51" s="135">
        <f>G47+G48+G49+G50</f>
        <v>973589.47</v>
      </c>
      <c r="H51" s="135">
        <f>H47+H48+H49+H50</f>
        <v>1141093.6200000001</v>
      </c>
      <c r="I51" s="136">
        <f>I47+I48+I49+I50</f>
        <v>1127663.82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hidden="1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hidden="1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1">
    <mergeCell ref="A2:D2"/>
    <mergeCell ref="E2:I2"/>
    <mergeCell ref="E3:I3"/>
    <mergeCell ref="E4:I4"/>
    <mergeCell ref="F44:F45"/>
    <mergeCell ref="E5:I5"/>
    <mergeCell ref="E7:I7"/>
    <mergeCell ref="H12:I12"/>
    <mergeCell ref="A31:I33"/>
    <mergeCell ref="H42:I42"/>
    <mergeCell ref="A41:I41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3" tint="0.59999389629810485"/>
  </sheetPr>
  <dimension ref="A1:J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11" t="s">
        <v>103</v>
      </c>
      <c r="F2" s="412"/>
      <c r="G2" s="412"/>
      <c r="H2" s="412"/>
      <c r="I2" s="412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14" t="s">
        <v>137</v>
      </c>
      <c r="F4" s="414"/>
      <c r="G4" s="414"/>
      <c r="H4" s="414"/>
      <c r="I4" s="41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177">
        <v>75007592</v>
      </c>
      <c r="F6" s="62"/>
      <c r="G6" s="63" t="s">
        <v>39</v>
      </c>
      <c r="H6" s="64">
        <v>1000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3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3358000</v>
      </c>
      <c r="F15" s="303">
        <v>9316261.1999999993</v>
      </c>
      <c r="G15" s="26">
        <f>H15+I15</f>
        <v>9316261.1999999993</v>
      </c>
      <c r="H15" s="302">
        <v>9286333.1999999993</v>
      </c>
      <c r="I15" s="302">
        <v>29928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10" ht="19.5" x14ac:dyDescent="0.4">
      <c r="A17" s="82" t="s">
        <v>4</v>
      </c>
      <c r="B17" s="3"/>
      <c r="C17" s="3"/>
      <c r="D17" s="3"/>
      <c r="E17" s="302">
        <v>3380000</v>
      </c>
      <c r="F17" s="303">
        <v>9305434.25</v>
      </c>
      <c r="G17" s="26">
        <f>H17+I17</f>
        <v>9377634.25</v>
      </c>
      <c r="H17" s="302">
        <v>9330364.25</v>
      </c>
      <c r="I17" s="302">
        <v>47270</v>
      </c>
    </row>
    <row r="18" spans="1:10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10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10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10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10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10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61373.050000000745</v>
      </c>
      <c r="H23" s="91">
        <f>H17-H15-H21</f>
        <v>44031.050000000745</v>
      </c>
      <c r="I23" s="91">
        <f>I17-I15-I21</f>
        <v>17342</v>
      </c>
    </row>
    <row r="25" spans="1:10" x14ac:dyDescent="0.2">
      <c r="H25" s="92"/>
    </row>
    <row r="27" spans="1:10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61373.05</v>
      </c>
      <c r="H27" s="94"/>
      <c r="I27" s="95"/>
    </row>
    <row r="28" spans="1:10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15000</v>
      </c>
      <c r="H28" s="94"/>
      <c r="I28" s="95"/>
      <c r="J28" s="246"/>
    </row>
    <row r="29" spans="1:10" ht="18.75" x14ac:dyDescent="0.4">
      <c r="A29" s="96"/>
      <c r="B29" s="96"/>
      <c r="C29" s="97"/>
      <c r="D29" s="98"/>
      <c r="E29" s="99"/>
      <c r="F29" s="92" t="s">
        <v>7</v>
      </c>
      <c r="G29" s="30">
        <v>46373.05</v>
      </c>
      <c r="H29" s="94"/>
      <c r="I29" s="95"/>
    </row>
    <row r="30" spans="1:10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10" ht="12.75" customHeight="1" x14ac:dyDescent="0.2">
      <c r="A31" s="417"/>
      <c r="B31" s="417"/>
      <c r="C31" s="417"/>
      <c r="D31" s="417"/>
      <c r="E31" s="417"/>
      <c r="F31" s="417"/>
      <c r="G31" s="417"/>
      <c r="H31" s="417"/>
      <c r="I31" s="417"/>
    </row>
    <row r="32" spans="1:10" x14ac:dyDescent="0.2">
      <c r="A32" s="418"/>
      <c r="B32" s="418"/>
      <c r="C32" s="418"/>
      <c r="D32" s="418"/>
      <c r="E32" s="418"/>
      <c r="F32" s="418"/>
      <c r="G32" s="418"/>
      <c r="H32" s="418"/>
      <c r="I32" s="418"/>
    </row>
    <row r="33" spans="1:10" ht="24" customHeight="1" x14ac:dyDescent="0.2">
      <c r="A33" s="418"/>
      <c r="B33" s="418"/>
      <c r="C33" s="418"/>
      <c r="D33" s="418"/>
      <c r="E33" s="418"/>
      <c r="F33" s="418"/>
      <c r="G33" s="418"/>
      <c r="H33" s="418"/>
      <c r="I33" s="418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877000</v>
      </c>
      <c r="G36" s="110">
        <v>867000</v>
      </c>
      <c r="H36" s="305"/>
      <c r="I36" s="111">
        <f>G36/F36</f>
        <v>0.98859749144811859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0</v>
      </c>
      <c r="G37" s="110">
        <v>0</v>
      </c>
      <c r="H37" s="305"/>
      <c r="I37" s="111" t="s">
        <v>225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0</v>
      </c>
      <c r="G39" s="110">
        <v>0</v>
      </c>
      <c r="H39" s="305"/>
      <c r="I39" s="111" t="s">
        <v>225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8" x14ac:dyDescent="0.35">
      <c r="A41" s="108"/>
      <c r="B41" s="151"/>
      <c r="C41" s="151"/>
      <c r="D41" s="152"/>
      <c r="E41" s="152"/>
      <c r="F41" s="153"/>
      <c r="G41" s="154"/>
      <c r="H41" s="94"/>
      <c r="I41" s="155"/>
      <c r="J41" s="58"/>
    </row>
    <row r="42" spans="1:10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10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10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10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10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10" ht="13.5" thickTop="1" x14ac:dyDescent="0.2">
      <c r="A47" s="120"/>
      <c r="B47" s="121"/>
      <c r="C47" s="121" t="s">
        <v>6</v>
      </c>
      <c r="D47" s="121"/>
      <c r="E47" s="122">
        <v>14500</v>
      </c>
      <c r="F47" s="123">
        <v>2500</v>
      </c>
      <c r="G47" s="124">
        <v>2000</v>
      </c>
      <c r="H47" s="124">
        <f>E47+F47-G47</f>
        <v>15000</v>
      </c>
      <c r="I47" s="125">
        <f>H47</f>
        <v>15000</v>
      </c>
    </row>
    <row r="48" spans="1:10" x14ac:dyDescent="0.2">
      <c r="A48" s="126"/>
      <c r="B48" s="127"/>
      <c r="C48" s="127" t="s">
        <v>8</v>
      </c>
      <c r="D48" s="127"/>
      <c r="E48" s="128">
        <v>114990.35</v>
      </c>
      <c r="F48" s="129">
        <v>52959</v>
      </c>
      <c r="G48" s="130">
        <v>96813</v>
      </c>
      <c r="H48" s="130">
        <f>E48+F48-G48</f>
        <v>71136.350000000006</v>
      </c>
      <c r="I48" s="131">
        <v>88838.07</v>
      </c>
    </row>
    <row r="49" spans="1:9" x14ac:dyDescent="0.2">
      <c r="A49" s="126"/>
      <c r="B49" s="127"/>
      <c r="C49" s="127" t="s">
        <v>7</v>
      </c>
      <c r="D49" s="127"/>
      <c r="E49" s="128">
        <v>282604.37</v>
      </c>
      <c r="F49" s="129">
        <v>3950.05</v>
      </c>
      <c r="G49" s="130">
        <v>72200</v>
      </c>
      <c r="H49" s="130">
        <f t="shared" ref="H49:H50" si="0">E49+F49-G49</f>
        <v>214354.41999999998</v>
      </c>
      <c r="I49" s="131">
        <f>94391.82+119962.6</f>
        <v>214354.42</v>
      </c>
    </row>
    <row r="50" spans="1:9" x14ac:dyDescent="0.2">
      <c r="A50" s="126"/>
      <c r="B50" s="127"/>
      <c r="C50" s="127" t="s">
        <v>15</v>
      </c>
      <c r="D50" s="127"/>
      <c r="E50" s="128">
        <v>23700</v>
      </c>
      <c r="F50" s="317">
        <v>7110</v>
      </c>
      <c r="G50" s="130">
        <v>0</v>
      </c>
      <c r="H50" s="130">
        <f t="shared" si="0"/>
        <v>30810</v>
      </c>
      <c r="I50" s="131">
        <f>H50</f>
        <v>30810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435794.72</v>
      </c>
      <c r="F51" s="135">
        <f>F47+F48+F49+F50</f>
        <v>66519.05</v>
      </c>
      <c r="G51" s="135">
        <f>G47+G48+G49+G50</f>
        <v>171013</v>
      </c>
      <c r="H51" s="135">
        <f>H47+H48+H49+H50</f>
        <v>331300.77</v>
      </c>
      <c r="I51" s="136">
        <f>I47+I48+I49+I50</f>
        <v>349002.49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0">
    <mergeCell ref="A2:D2"/>
    <mergeCell ref="E2:I2"/>
    <mergeCell ref="E3:I3"/>
    <mergeCell ref="E4:I4"/>
    <mergeCell ref="F44:F45"/>
    <mergeCell ref="E5:I5"/>
    <mergeCell ref="E7:I7"/>
    <mergeCell ref="H12:I12"/>
    <mergeCell ref="A31:I33"/>
    <mergeCell ref="H42:I42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292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167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168</v>
      </c>
      <c r="F6" s="62"/>
      <c r="G6" s="63" t="s">
        <v>39</v>
      </c>
      <c r="H6" s="64">
        <v>1122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2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9446000</v>
      </c>
      <c r="F15" s="303">
        <v>34484598</v>
      </c>
      <c r="G15" s="26">
        <f>H15+I15</f>
        <v>33840071.880000003</v>
      </c>
      <c r="H15" s="302">
        <v>31637156.010000002</v>
      </c>
      <c r="I15" s="302">
        <v>2202915.87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9446000</v>
      </c>
      <c r="F17" s="303">
        <v>34484598</v>
      </c>
      <c r="G17" s="26">
        <f>H17+I17</f>
        <v>34447121.759999998</v>
      </c>
      <c r="H17" s="302">
        <v>32003486.77</v>
      </c>
      <c r="I17" s="302">
        <v>2443634.9900000002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607049.87999999523</v>
      </c>
      <c r="H23" s="91">
        <f>H17-H15-H21</f>
        <v>366330.75999999791</v>
      </c>
      <c r="I23" s="91">
        <f>I17-I15-I21</f>
        <v>240719.12000000011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607049.88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592049.88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1107000</v>
      </c>
      <c r="G37" s="110">
        <v>1107000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925978</v>
      </c>
      <c r="G39" s="110">
        <v>925978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366" t="s">
        <v>225</v>
      </c>
    </row>
    <row r="41" spans="1:10" x14ac:dyDescent="0.2">
      <c r="A41" s="423"/>
      <c r="B41" s="423"/>
      <c r="C41" s="423"/>
      <c r="D41" s="423"/>
      <c r="E41" s="423"/>
      <c r="F41" s="423"/>
      <c r="G41" s="423"/>
      <c r="H41" s="423"/>
      <c r="I41" s="423"/>
      <c r="J41" s="117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88320</v>
      </c>
      <c r="F48" s="123">
        <f>10000+43468.93</f>
        <v>53468.93</v>
      </c>
      <c r="G48" s="124">
        <v>8000</v>
      </c>
      <c r="H48" s="124">
        <f>E48+F48-G48</f>
        <v>133788.93</v>
      </c>
      <c r="I48" s="125">
        <f>H48</f>
        <v>133788.93</v>
      </c>
    </row>
    <row r="49" spans="1:9" x14ac:dyDescent="0.2">
      <c r="A49" s="126"/>
      <c r="B49" s="127"/>
      <c r="C49" s="127" t="s">
        <v>8</v>
      </c>
      <c r="D49" s="127"/>
      <c r="E49" s="128">
        <v>106473.15</v>
      </c>
      <c r="F49" s="129">
        <v>297492.40999999997</v>
      </c>
      <c r="G49" s="130">
        <v>192945</v>
      </c>
      <c r="H49" s="130">
        <f>E49+F49-G49</f>
        <v>211020.55999999994</v>
      </c>
      <c r="I49" s="131">
        <v>166797.06</v>
      </c>
    </row>
    <row r="50" spans="1:9" x14ac:dyDescent="0.2">
      <c r="A50" s="126"/>
      <c r="B50" s="127"/>
      <c r="C50" s="127" t="s">
        <v>7</v>
      </c>
      <c r="D50" s="127"/>
      <c r="E50" s="128">
        <v>733645.35</v>
      </c>
      <c r="F50" s="129">
        <f>178067.41+21584.62+871728.91</f>
        <v>1071380.94</v>
      </c>
      <c r="G50" s="130">
        <v>407402.79</v>
      </c>
      <c r="H50" s="130">
        <f t="shared" ref="H50:H51" si="0">E50+F50-G50</f>
        <v>1397623.5</v>
      </c>
      <c r="I50" s="131">
        <f>H50</f>
        <v>1397623.5</v>
      </c>
    </row>
    <row r="51" spans="1:9" x14ac:dyDescent="0.2">
      <c r="A51" s="126"/>
      <c r="B51" s="127"/>
      <c r="C51" s="127" t="s">
        <v>15</v>
      </c>
      <c r="D51" s="127"/>
      <c r="E51" s="128">
        <v>182479.71</v>
      </c>
      <c r="F51" s="129">
        <v>1223861.74</v>
      </c>
      <c r="G51" s="130">
        <v>1353566</v>
      </c>
      <c r="H51" s="130">
        <f t="shared" si="0"/>
        <v>52775.449999999953</v>
      </c>
      <c r="I51" s="131">
        <f>H51</f>
        <v>52775.449999999953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1110918.21</v>
      </c>
      <c r="F52" s="135">
        <f>F48+F49+F50+F51</f>
        <v>2646204.0199999996</v>
      </c>
      <c r="G52" s="135">
        <f>G48+G49+G50+G51</f>
        <v>1961913.79</v>
      </c>
      <c r="H52" s="135">
        <f>H48+H49+H50+H51</f>
        <v>1795208.44</v>
      </c>
      <c r="I52" s="136">
        <f>I48+I49+I50+I51</f>
        <v>1750984.94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3" tint="0.59999389629810485"/>
  </sheetPr>
  <dimension ref="A1:J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169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170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171</v>
      </c>
      <c r="F6" s="62"/>
      <c r="G6" s="63" t="s">
        <v>39</v>
      </c>
      <c r="H6" s="64">
        <v>1123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36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16578000</v>
      </c>
      <c r="F15" s="303">
        <v>49778469.890000001</v>
      </c>
      <c r="G15" s="26">
        <f>H15+I15</f>
        <v>49778469.889999993</v>
      </c>
      <c r="H15" s="302">
        <v>46781666.909999996</v>
      </c>
      <c r="I15" s="302">
        <v>2996802.98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16578000</v>
      </c>
      <c r="F17" s="303">
        <v>50882395.270000003</v>
      </c>
      <c r="G17" s="26">
        <f>H17+I17</f>
        <v>49996297.310000002</v>
      </c>
      <c r="H17" s="302">
        <v>46938913.32</v>
      </c>
      <c r="I17" s="302">
        <v>3057383.99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217827.42000000924</v>
      </c>
      <c r="H23" s="91">
        <f>H17-H15-H21</f>
        <v>157246.41000000387</v>
      </c>
      <c r="I23" s="91">
        <f>I17-I15-I21</f>
        <v>60581.010000000242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217827.42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0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217827.42</v>
      </c>
      <c r="H30" s="101"/>
      <c r="I30" s="95"/>
    </row>
    <row r="31" spans="1:9" ht="12.75" customHeight="1" x14ac:dyDescent="0.2">
      <c r="A31" s="435" t="s">
        <v>312</v>
      </c>
      <c r="B31" s="436"/>
      <c r="C31" s="436"/>
      <c r="D31" s="436"/>
      <c r="E31" s="436"/>
      <c r="F31" s="436"/>
      <c r="G31" s="436"/>
      <c r="H31" s="436"/>
      <c r="I31" s="436"/>
    </row>
    <row r="32" spans="1:9" x14ac:dyDescent="0.2">
      <c r="A32" s="436"/>
      <c r="B32" s="436"/>
      <c r="C32" s="436"/>
      <c r="D32" s="436"/>
      <c r="E32" s="436"/>
      <c r="F32" s="436"/>
      <c r="G32" s="436"/>
      <c r="H32" s="436"/>
      <c r="I32" s="436"/>
    </row>
    <row r="33" spans="1:10" x14ac:dyDescent="0.2">
      <c r="A33" s="436"/>
      <c r="B33" s="436"/>
      <c r="C33" s="436"/>
      <c r="D33" s="436"/>
      <c r="E33" s="436"/>
      <c r="F33" s="436"/>
      <c r="G33" s="436"/>
      <c r="H33" s="436"/>
      <c r="I33" s="436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71900</v>
      </c>
      <c r="G36" s="110">
        <v>69400</v>
      </c>
      <c r="H36" s="305"/>
      <c r="I36" s="111">
        <f>G36/F36</f>
        <v>0.96522948539638387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1846000</v>
      </c>
      <c r="G37" s="110">
        <v>1846000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1384000</v>
      </c>
      <c r="G39" s="110">
        <v>1384000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8" x14ac:dyDescent="0.35">
      <c r="A41" s="108"/>
      <c r="B41" s="151"/>
      <c r="C41" s="151"/>
      <c r="D41" s="152"/>
      <c r="E41" s="152"/>
      <c r="F41" s="153"/>
      <c r="G41" s="154"/>
      <c r="H41" s="94"/>
      <c r="I41" s="155"/>
      <c r="J41" s="58"/>
    </row>
    <row r="42" spans="1:10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10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10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10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10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10" ht="13.5" thickTop="1" x14ac:dyDescent="0.2">
      <c r="A47" s="120"/>
      <c r="B47" s="121"/>
      <c r="C47" s="121" t="s">
        <v>6</v>
      </c>
      <c r="D47" s="121"/>
      <c r="E47" s="122">
        <v>0</v>
      </c>
      <c r="F47" s="123">
        <v>0</v>
      </c>
      <c r="G47" s="124">
        <v>0</v>
      </c>
      <c r="H47" s="124">
        <f>E47+F47-G47</f>
        <v>0</v>
      </c>
      <c r="I47" s="125">
        <v>0</v>
      </c>
    </row>
    <row r="48" spans="1:10" x14ac:dyDescent="0.2">
      <c r="A48" s="126"/>
      <c r="B48" s="127"/>
      <c r="C48" s="127" t="s">
        <v>8</v>
      </c>
      <c r="D48" s="127"/>
      <c r="E48" s="128">
        <v>187768.32000000001</v>
      </c>
      <c r="F48" s="129">
        <v>239331</v>
      </c>
      <c r="G48" s="130">
        <v>268262</v>
      </c>
      <c r="H48" s="130">
        <f>E48+F48-G48</f>
        <v>158837.32</v>
      </c>
      <c r="I48" s="131">
        <v>172699.63</v>
      </c>
    </row>
    <row r="49" spans="1:9" x14ac:dyDescent="0.2">
      <c r="A49" s="126"/>
      <c r="B49" s="127"/>
      <c r="C49" s="127" t="s">
        <v>7</v>
      </c>
      <c r="D49" s="127"/>
      <c r="E49" s="128">
        <v>289811.43</v>
      </c>
      <c r="F49" s="129">
        <v>1453636.87</v>
      </c>
      <c r="G49" s="130">
        <v>299811.43</v>
      </c>
      <c r="H49" s="130">
        <f t="shared" ref="H49:H50" si="0">E49+F49-G49</f>
        <v>1443636.87</v>
      </c>
      <c r="I49" s="131">
        <f>H49</f>
        <v>1443636.87</v>
      </c>
    </row>
    <row r="50" spans="1:9" x14ac:dyDescent="0.2">
      <c r="A50" s="126"/>
      <c r="B50" s="127"/>
      <c r="C50" s="127" t="s">
        <v>15</v>
      </c>
      <c r="D50" s="127"/>
      <c r="E50" s="128">
        <v>363259.28</v>
      </c>
      <c r="F50" s="129">
        <v>2032976</v>
      </c>
      <c r="G50" s="130">
        <v>1874880</v>
      </c>
      <c r="H50" s="130">
        <f t="shared" si="0"/>
        <v>521355.28000000026</v>
      </c>
      <c r="I50" s="131">
        <f>H50</f>
        <v>521355.28000000026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840839.03</v>
      </c>
      <c r="F51" s="135">
        <f>F47+F48+F49+F50</f>
        <v>3725943.87</v>
      </c>
      <c r="G51" s="135">
        <f>G47+G48+G49+G50</f>
        <v>2442953.4299999997</v>
      </c>
      <c r="H51" s="135">
        <f>H47+H48+H49+H50</f>
        <v>2123829.4700000007</v>
      </c>
      <c r="I51" s="136">
        <f>I47+I48+I49+I50</f>
        <v>2137691.7800000003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0">
    <mergeCell ref="A2:D2"/>
    <mergeCell ref="E2:I2"/>
    <mergeCell ref="E3:I3"/>
    <mergeCell ref="E4:I4"/>
    <mergeCell ref="F44:F45"/>
    <mergeCell ref="E5:I5"/>
    <mergeCell ref="E7:I7"/>
    <mergeCell ref="H12:I12"/>
    <mergeCell ref="A31:I33"/>
    <mergeCell ref="H42:I42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theme="3" tint="0.59999389629810485"/>
  </sheetPr>
  <dimension ref="A1:J56"/>
  <sheetViews>
    <sheetView zoomScaleNormal="100" workbookViewId="0">
      <selection activeCell="B39" sqref="A39:I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7" style="55" bestFit="1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10" ht="19.5" x14ac:dyDescent="0.4">
      <c r="A1" s="53" t="s">
        <v>26</v>
      </c>
      <c r="B1" s="54"/>
      <c r="C1" s="54"/>
      <c r="D1" s="54"/>
    </row>
    <row r="2" spans="1:10" ht="19.5" x14ac:dyDescent="0.4">
      <c r="A2" s="410" t="s">
        <v>108</v>
      </c>
      <c r="B2" s="410"/>
      <c r="C2" s="410"/>
      <c r="D2" s="410"/>
      <c r="E2" s="427" t="s">
        <v>222</v>
      </c>
      <c r="F2" s="427"/>
      <c r="G2" s="427"/>
      <c r="H2" s="427"/>
      <c r="I2" s="427"/>
      <c r="J2" s="58"/>
    </row>
    <row r="3" spans="1:10" ht="18.75" customHeight="1" x14ac:dyDescent="0.4">
      <c r="A3" s="57"/>
      <c r="B3" s="57"/>
      <c r="C3" s="57"/>
      <c r="D3" s="57"/>
      <c r="E3" s="446" t="s">
        <v>133</v>
      </c>
      <c r="F3" s="446"/>
      <c r="G3" s="446"/>
      <c r="H3" s="446"/>
      <c r="I3" s="446"/>
    </row>
    <row r="4" spans="1:10" ht="9.75" customHeight="1" x14ac:dyDescent="0.4">
      <c r="A4" s="57"/>
      <c r="B4" s="57"/>
      <c r="C4" s="57"/>
      <c r="D4" s="57"/>
      <c r="E4" s="413" t="s">
        <v>109</v>
      </c>
      <c r="F4" s="413"/>
      <c r="G4" s="413"/>
      <c r="H4" s="413"/>
      <c r="I4" s="413"/>
    </row>
    <row r="5" spans="1:10" ht="15.75" x14ac:dyDescent="0.25">
      <c r="A5" s="59" t="s">
        <v>27</v>
      </c>
      <c r="E5" s="424" t="s">
        <v>172</v>
      </c>
      <c r="F5" s="424"/>
      <c r="G5" s="424"/>
      <c r="H5" s="424"/>
      <c r="I5" s="424"/>
    </row>
    <row r="6" spans="1:10" ht="9.75" customHeight="1" x14ac:dyDescent="0.25">
      <c r="A6" s="59"/>
      <c r="E6" s="413" t="s">
        <v>109</v>
      </c>
      <c r="F6" s="413"/>
      <c r="G6" s="413"/>
      <c r="H6" s="413"/>
      <c r="I6" s="413"/>
    </row>
    <row r="7" spans="1:10" ht="19.5" x14ac:dyDescent="0.4">
      <c r="A7" s="60" t="s">
        <v>24</v>
      </c>
      <c r="E7" s="61" t="s">
        <v>173</v>
      </c>
      <c r="F7" s="62"/>
      <c r="G7" s="63" t="s">
        <v>39</v>
      </c>
      <c r="H7" s="64">
        <v>1124</v>
      </c>
    </row>
    <row r="8" spans="1:10" ht="8.25" customHeight="1" x14ac:dyDescent="0.4">
      <c r="A8" s="60"/>
      <c r="E8" s="413" t="s">
        <v>110</v>
      </c>
      <c r="F8" s="413"/>
      <c r="G8" s="413"/>
      <c r="H8" s="413"/>
      <c r="I8" s="413"/>
    </row>
    <row r="9" spans="1:10" ht="36" customHeight="1" x14ac:dyDescent="0.2">
      <c r="F9" s="66"/>
      <c r="G9" s="248"/>
    </row>
    <row r="10" spans="1:10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10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10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10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10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10" ht="19.5" x14ac:dyDescent="0.4">
      <c r="A15" s="82" t="s">
        <v>3</v>
      </c>
      <c r="B15" s="77"/>
      <c r="C15" s="78"/>
      <c r="D15" s="79"/>
      <c r="E15" s="302">
        <v>7709000</v>
      </c>
      <c r="F15" s="303">
        <v>6418766.5199999996</v>
      </c>
      <c r="G15" s="26">
        <f>H15+I15</f>
        <v>6418766.5199999996</v>
      </c>
      <c r="H15" s="302">
        <v>6289031.5199999996</v>
      </c>
      <c r="I15" s="302">
        <v>129735</v>
      </c>
    </row>
    <row r="16" spans="1:10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7709000</v>
      </c>
      <c r="F17" s="303">
        <v>4542259.75</v>
      </c>
      <c r="G17" s="26">
        <f>H17+I17</f>
        <v>6440022.7699999996</v>
      </c>
      <c r="H17" s="302">
        <v>6171922.7699999996</v>
      </c>
      <c r="I17" s="302">
        <v>268100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21256.25</v>
      </c>
      <c r="H23" s="91">
        <f>H17-H15-H21</f>
        <v>-117108.75</v>
      </c>
      <c r="I23" s="91">
        <f>I17-I15-I21</f>
        <v>138365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21256.25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17005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4251.25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ht="18.75" x14ac:dyDescent="0.4">
      <c r="A31" s="96"/>
      <c r="B31" s="96"/>
      <c r="C31" s="97"/>
      <c r="D31" s="98"/>
      <c r="E31" s="99"/>
      <c r="F31" s="92"/>
      <c r="G31" s="100"/>
      <c r="H31" s="101"/>
      <c r="I31" s="95"/>
    </row>
    <row r="32" spans="1:9" ht="18.75" x14ac:dyDescent="0.4">
      <c r="A32" s="421"/>
      <c r="B32" s="422"/>
      <c r="C32" s="422"/>
      <c r="D32" s="422"/>
      <c r="E32" s="422"/>
      <c r="F32" s="422"/>
      <c r="G32" s="422"/>
      <c r="H32" s="422"/>
      <c r="I32" s="422"/>
    </row>
    <row r="33" spans="1:10" ht="19.5" x14ac:dyDescent="0.4">
      <c r="A33" s="77" t="s">
        <v>30</v>
      </c>
      <c r="B33" s="77" t="s">
        <v>31</v>
      </c>
      <c r="C33" s="77"/>
      <c r="D33" s="103"/>
      <c r="E33" s="81"/>
      <c r="F33" s="3"/>
      <c r="G33" s="104"/>
      <c r="H33" s="95"/>
      <c r="I33" s="95"/>
    </row>
    <row r="34" spans="1:10" ht="18.75" x14ac:dyDescent="0.4">
      <c r="A34" s="77"/>
      <c r="B34" s="77"/>
      <c r="C34" s="77"/>
      <c r="D34" s="103"/>
      <c r="F34" s="105" t="s">
        <v>115</v>
      </c>
      <c r="G34" s="106" t="s">
        <v>0</v>
      </c>
      <c r="H34" s="72"/>
      <c r="I34" s="107" t="s">
        <v>116</v>
      </c>
    </row>
    <row r="35" spans="1:10" ht="16.5" x14ac:dyDescent="0.35">
      <c r="A35" s="108" t="s">
        <v>32</v>
      </c>
      <c r="B35" s="109"/>
      <c r="C35" s="2"/>
      <c r="D35" s="109"/>
      <c r="E35" s="81"/>
      <c r="F35" s="110">
        <v>2851400</v>
      </c>
      <c r="G35" s="110">
        <v>2851400</v>
      </c>
      <c r="H35" s="305"/>
      <c r="I35" s="111">
        <f>G35/F35</f>
        <v>1</v>
      </c>
    </row>
    <row r="36" spans="1:10" ht="16.5" x14ac:dyDescent="0.35">
      <c r="A36" s="108" t="s">
        <v>117</v>
      </c>
      <c r="B36" s="109"/>
      <c r="C36" s="2"/>
      <c r="D36" s="112"/>
      <c r="E36" s="112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118</v>
      </c>
      <c r="B37" s="109"/>
      <c r="C37" s="2"/>
      <c r="D37" s="112"/>
      <c r="E37" s="112"/>
      <c r="F37" s="110">
        <v>0</v>
      </c>
      <c r="G37" s="110">
        <v>0</v>
      </c>
      <c r="H37" s="305"/>
      <c r="I37" s="114" t="s">
        <v>225</v>
      </c>
    </row>
    <row r="38" spans="1:10" ht="16.5" x14ac:dyDescent="0.35">
      <c r="A38" s="108" t="s">
        <v>220</v>
      </c>
      <c r="B38" s="109"/>
      <c r="C38" s="2"/>
      <c r="D38" s="81"/>
      <c r="E38" s="81"/>
      <c r="F38" s="110">
        <v>0</v>
      </c>
      <c r="G38" s="110">
        <v>0</v>
      </c>
      <c r="H38" s="305"/>
      <c r="I38" s="111" t="s">
        <v>225</v>
      </c>
    </row>
    <row r="39" spans="1:10" ht="18" x14ac:dyDescent="0.35">
      <c r="A39" s="108" t="s">
        <v>221</v>
      </c>
      <c r="B39" s="115"/>
      <c r="C39" s="115"/>
      <c r="D39" s="81"/>
      <c r="E39" s="81"/>
      <c r="F39" s="116">
        <v>0</v>
      </c>
      <c r="G39" s="110">
        <v>0</v>
      </c>
      <c r="H39" s="305"/>
      <c r="I39" s="114" t="s">
        <v>225</v>
      </c>
    </row>
    <row r="40" spans="1:10" s="308" customFormat="1" ht="7.5" customHeight="1" x14ac:dyDescent="0.2">
      <c r="A40" s="447"/>
      <c r="B40" s="448"/>
      <c r="C40" s="448"/>
      <c r="D40" s="448"/>
      <c r="E40" s="448"/>
      <c r="F40" s="448"/>
      <c r="G40" s="448"/>
      <c r="H40" s="448"/>
      <c r="I40" s="448"/>
    </row>
    <row r="41" spans="1:10" ht="10.5" customHeight="1" x14ac:dyDescent="0.35">
      <c r="A41" s="108"/>
      <c r="B41" s="151"/>
      <c r="C41" s="151"/>
      <c r="D41" s="152"/>
      <c r="E41" s="152"/>
      <c r="F41" s="153"/>
      <c r="G41" s="154"/>
      <c r="H41" s="94"/>
      <c r="I41" s="155"/>
      <c r="J41" s="58"/>
    </row>
    <row r="42" spans="1:10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10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10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10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10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10" ht="13.5" thickTop="1" x14ac:dyDescent="0.2">
      <c r="A47" s="120"/>
      <c r="B47" s="121"/>
      <c r="C47" s="121" t="s">
        <v>6</v>
      </c>
      <c r="D47" s="121"/>
      <c r="E47" s="122">
        <v>0</v>
      </c>
      <c r="F47" s="123">
        <v>0</v>
      </c>
      <c r="G47" s="124">
        <v>0</v>
      </c>
      <c r="H47" s="124">
        <f>E47+F47-G47</f>
        <v>0</v>
      </c>
      <c r="I47" s="125">
        <f>H47</f>
        <v>0</v>
      </c>
    </row>
    <row r="48" spans="1:10" x14ac:dyDescent="0.2">
      <c r="A48" s="126"/>
      <c r="B48" s="127"/>
      <c r="C48" s="127" t="s">
        <v>8</v>
      </c>
      <c r="D48" s="127"/>
      <c r="E48" s="128">
        <v>26360.05</v>
      </c>
      <c r="F48" s="129">
        <v>31310</v>
      </c>
      <c r="G48" s="130">
        <v>40291</v>
      </c>
      <c r="H48" s="130">
        <f>E48+F48-G48</f>
        <v>17379.050000000003</v>
      </c>
      <c r="I48" s="131">
        <v>21480.66</v>
      </c>
    </row>
    <row r="49" spans="1:9" x14ac:dyDescent="0.2">
      <c r="A49" s="126"/>
      <c r="B49" s="127"/>
      <c r="C49" s="127" t="s">
        <v>7</v>
      </c>
      <c r="D49" s="127"/>
      <c r="E49" s="128">
        <v>1183622.3</v>
      </c>
      <c r="F49" s="129">
        <v>0</v>
      </c>
      <c r="G49" s="130">
        <v>1129973.6000000001</v>
      </c>
      <c r="H49" s="130">
        <f t="shared" ref="H49:H50" si="0">E49+F49-G49</f>
        <v>53648.699999999953</v>
      </c>
      <c r="I49" s="131">
        <f>H49</f>
        <v>53648.699999999953</v>
      </c>
    </row>
    <row r="50" spans="1:9" x14ac:dyDescent="0.2">
      <c r="A50" s="126"/>
      <c r="B50" s="127"/>
      <c r="C50" s="127" t="s">
        <v>15</v>
      </c>
      <c r="D50" s="127"/>
      <c r="E50" s="128">
        <v>7343</v>
      </c>
      <c r="F50" s="129">
        <v>0</v>
      </c>
      <c r="G50" s="130">
        <v>0</v>
      </c>
      <c r="H50" s="130">
        <f t="shared" si="0"/>
        <v>7343</v>
      </c>
      <c r="I50" s="131">
        <f>H50</f>
        <v>7343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1217325.3500000001</v>
      </c>
      <c r="F51" s="135">
        <f>F47+F48+F49+F50</f>
        <v>31310</v>
      </c>
      <c r="G51" s="135">
        <f>G47+G48+G49+G50</f>
        <v>1170264.6000000001</v>
      </c>
      <c r="H51" s="135">
        <f>H47+H48+H49+H50</f>
        <v>78370.749999999956</v>
      </c>
      <c r="I51" s="136">
        <f>I47+I48+I49+I50</f>
        <v>82472.359999999957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2">
    <mergeCell ref="F44:F45"/>
    <mergeCell ref="E6:I6"/>
    <mergeCell ref="E8:I8"/>
    <mergeCell ref="H12:I12"/>
    <mergeCell ref="A32:I32"/>
    <mergeCell ref="H42:I42"/>
    <mergeCell ref="A40:I40"/>
    <mergeCell ref="A2:D2"/>
    <mergeCell ref="E3:I3"/>
    <mergeCell ref="E5:I5"/>
    <mergeCell ref="E2:I2"/>
    <mergeCell ref="E4:I4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3" tint="0.59999389629810485"/>
  </sheetPr>
  <dimension ref="A1:J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130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265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301" t="s">
        <v>174</v>
      </c>
      <c r="F6" s="62"/>
      <c r="G6" s="63" t="s">
        <v>39</v>
      </c>
      <c r="H6" s="64">
        <v>1150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38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6416000</v>
      </c>
      <c r="F15" s="303">
        <v>27389936.309999999</v>
      </c>
      <c r="G15" s="26">
        <f>H15+I15</f>
        <v>27389936.309999999</v>
      </c>
      <c r="H15" s="302">
        <v>27105062.66</v>
      </c>
      <c r="I15" s="302">
        <v>284873.65000000002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6416000</v>
      </c>
      <c r="F17" s="303">
        <v>27473719.940000001</v>
      </c>
      <c r="G17" s="26">
        <f>H17+I17</f>
        <v>27404259.619999997</v>
      </c>
      <c r="H17" s="302">
        <v>26990833.219999999</v>
      </c>
      <c r="I17" s="302">
        <v>413426.4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14323.309999998659</v>
      </c>
      <c r="H23" s="91">
        <f>H17-H15-H21</f>
        <v>-114229.44000000134</v>
      </c>
      <c r="I23" s="91">
        <f>I17-I15-I21</f>
        <v>128552.75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14323.31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9323.31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491720</v>
      </c>
      <c r="G37" s="110">
        <v>490788</v>
      </c>
      <c r="H37" s="305"/>
      <c r="I37" s="111">
        <f>G37/F37</f>
        <v>0.99810461238102988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369290</v>
      </c>
      <c r="G39" s="110">
        <v>369290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47" t="s">
        <v>313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10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10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10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10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10" ht="13.5" thickTop="1" x14ac:dyDescent="0.2">
      <c r="A47" s="120"/>
      <c r="B47" s="121"/>
      <c r="C47" s="121" t="s">
        <v>6</v>
      </c>
      <c r="D47" s="121"/>
      <c r="E47" s="122">
        <v>0</v>
      </c>
      <c r="F47" s="123">
        <v>5000</v>
      </c>
      <c r="G47" s="124">
        <v>5000</v>
      </c>
      <c r="H47" s="124">
        <f>E47+F47-G47</f>
        <v>0</v>
      </c>
      <c r="I47" s="125">
        <v>0</v>
      </c>
    </row>
    <row r="48" spans="1:10" x14ac:dyDescent="0.2">
      <c r="A48" s="126"/>
      <c r="B48" s="127"/>
      <c r="C48" s="127" t="s">
        <v>8</v>
      </c>
      <c r="D48" s="127"/>
      <c r="E48" s="128">
        <v>42649.83</v>
      </c>
      <c r="F48" s="129">
        <v>147982</v>
      </c>
      <c r="G48" s="130">
        <v>136564</v>
      </c>
      <c r="H48" s="130">
        <f>E48+F48-G48</f>
        <v>54067.830000000016</v>
      </c>
      <c r="I48" s="131">
        <v>50184.23</v>
      </c>
    </row>
    <row r="49" spans="1:9" x14ac:dyDescent="0.2">
      <c r="A49" s="126"/>
      <c r="B49" s="127"/>
      <c r="C49" s="127" t="s">
        <v>7</v>
      </c>
      <c r="D49" s="127"/>
      <c r="E49" s="128">
        <v>196976.05</v>
      </c>
      <c r="F49" s="129">
        <f>113450.04+80140.32</f>
        <v>193590.36</v>
      </c>
      <c r="G49" s="148">
        <f>110815+111000</f>
        <v>221815</v>
      </c>
      <c r="H49" s="130">
        <f t="shared" ref="H49:H50" si="0">E49+F49-G49</f>
        <v>168751.40999999997</v>
      </c>
      <c r="I49" s="131">
        <f>H49</f>
        <v>168751.40999999997</v>
      </c>
    </row>
    <row r="50" spans="1:9" x14ac:dyDescent="0.2">
      <c r="A50" s="126"/>
      <c r="B50" s="127"/>
      <c r="C50" s="127" t="s">
        <v>15</v>
      </c>
      <c r="D50" s="127"/>
      <c r="E50" s="128">
        <v>248123.29</v>
      </c>
      <c r="F50" s="129">
        <v>2158580</v>
      </c>
      <c r="G50" s="130">
        <v>2320370</v>
      </c>
      <c r="H50" s="130">
        <f t="shared" si="0"/>
        <v>86333.290000000037</v>
      </c>
      <c r="I50" s="131">
        <v>87275.29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487749.17000000004</v>
      </c>
      <c r="F51" s="135">
        <f>F47+F48+F49+F50</f>
        <v>2505152.36</v>
      </c>
      <c r="G51" s="135">
        <f>G47+G48+G49+G50</f>
        <v>2683749</v>
      </c>
      <c r="H51" s="135">
        <f>H47+H48+H49+H50</f>
        <v>309152.53000000003</v>
      </c>
      <c r="I51" s="136">
        <f>I47+I48+I49+I50</f>
        <v>306210.93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49"/>
      <c r="H52" s="138"/>
      <c r="I52" s="138"/>
    </row>
    <row r="53" spans="1:9" ht="18" hidden="1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hidden="1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hidden="1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1">
    <mergeCell ref="A2:D2"/>
    <mergeCell ref="E2:I2"/>
    <mergeCell ref="E3:I3"/>
    <mergeCell ref="E4:I4"/>
    <mergeCell ref="F44:F45"/>
    <mergeCell ref="E5:I5"/>
    <mergeCell ref="E7:I7"/>
    <mergeCell ref="H12:I12"/>
    <mergeCell ref="A31:I33"/>
    <mergeCell ref="H42:I42"/>
    <mergeCell ref="A41:I41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3" tint="0.59999389629810485"/>
  </sheetPr>
  <dimension ref="A1:I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175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172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176</v>
      </c>
      <c r="F6" s="62"/>
      <c r="G6" s="63" t="s">
        <v>39</v>
      </c>
      <c r="H6" s="64">
        <v>1160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8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13478000</v>
      </c>
      <c r="F15" s="303">
        <v>62387958</v>
      </c>
      <c r="G15" s="26">
        <f>H15+I15</f>
        <v>58608811.060000002</v>
      </c>
      <c r="H15" s="302">
        <v>55371216.590000004</v>
      </c>
      <c r="I15" s="302">
        <v>3237594.47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13478000</v>
      </c>
      <c r="F17" s="303">
        <v>62626901.259999998</v>
      </c>
      <c r="G17" s="26">
        <f>H17+I17</f>
        <v>59676294.380000003</v>
      </c>
      <c r="H17" s="302">
        <v>56083272.920000002</v>
      </c>
      <c r="I17" s="302">
        <v>3593021.46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1067483.3200000003</v>
      </c>
      <c r="H23" s="91">
        <f>H17-H15-H21</f>
        <v>712056.32999999821</v>
      </c>
      <c r="I23" s="91">
        <f>I17-I15-I21</f>
        <v>355426.98999999976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1067483.32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1057483.32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9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9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9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9" ht="16.5" x14ac:dyDescent="0.35">
      <c r="A36" s="108" t="s">
        <v>32</v>
      </c>
      <c r="B36" s="109"/>
      <c r="C36" s="2"/>
      <c r="D36" s="109"/>
      <c r="E36" s="81"/>
      <c r="F36" s="110">
        <v>8000</v>
      </c>
      <c r="G36" s="110">
        <v>7377</v>
      </c>
      <c r="H36" s="305"/>
      <c r="I36" s="111">
        <f>G36/F36</f>
        <v>0.92212499999999997</v>
      </c>
    </row>
    <row r="37" spans="1:9" ht="16.5" x14ac:dyDescent="0.35">
      <c r="A37" s="108" t="s">
        <v>117</v>
      </c>
      <c r="B37" s="109"/>
      <c r="C37" s="2"/>
      <c r="D37" s="112"/>
      <c r="E37" s="112"/>
      <c r="F37" s="110">
        <v>1455000</v>
      </c>
      <c r="G37" s="110">
        <v>1422570.26</v>
      </c>
      <c r="H37" s="305"/>
      <c r="I37" s="111">
        <f>G37/F37</f>
        <v>0.97771151890034369</v>
      </c>
    </row>
    <row r="38" spans="1:9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9" ht="16.5" x14ac:dyDescent="0.35">
      <c r="A39" s="108" t="s">
        <v>220</v>
      </c>
      <c r="B39" s="109"/>
      <c r="C39" s="2"/>
      <c r="D39" s="81"/>
      <c r="E39" s="81"/>
      <c r="F39" s="110">
        <v>1091000</v>
      </c>
      <c r="G39" s="110">
        <v>1091000</v>
      </c>
      <c r="H39" s="305"/>
      <c r="I39" s="111">
        <f>G39/F39</f>
        <v>1</v>
      </c>
    </row>
    <row r="40" spans="1:9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366" t="s">
        <v>225</v>
      </c>
    </row>
    <row r="41" spans="1:9" ht="18" customHeight="1" x14ac:dyDescent="0.2">
      <c r="A41" s="449" t="s">
        <v>315</v>
      </c>
      <c r="B41" s="449"/>
      <c r="C41" s="449"/>
      <c r="D41" s="449"/>
      <c r="E41" s="449"/>
      <c r="F41" s="449"/>
      <c r="G41" s="449"/>
      <c r="H41" s="449"/>
      <c r="I41" s="449"/>
    </row>
    <row r="42" spans="1:9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9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9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9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9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9" ht="13.5" thickTop="1" x14ac:dyDescent="0.2">
      <c r="A47" s="120"/>
      <c r="B47" s="121"/>
      <c r="C47" s="121" t="s">
        <v>6</v>
      </c>
      <c r="D47" s="121"/>
      <c r="E47" s="122">
        <v>179171</v>
      </c>
      <c r="F47" s="123">
        <v>0</v>
      </c>
      <c r="G47" s="124">
        <v>37800</v>
      </c>
      <c r="H47" s="124">
        <f>E47+F47-G47</f>
        <v>141371</v>
      </c>
      <c r="I47" s="125">
        <f>H47</f>
        <v>141371</v>
      </c>
    </row>
    <row r="48" spans="1:9" x14ac:dyDescent="0.2">
      <c r="A48" s="126"/>
      <c r="B48" s="127"/>
      <c r="C48" s="127" t="s">
        <v>8</v>
      </c>
      <c r="D48" s="127"/>
      <c r="E48" s="128">
        <v>153638.13</v>
      </c>
      <c r="F48" s="129">
        <v>312716.95</v>
      </c>
      <c r="G48" s="130">
        <v>323213.90000000002</v>
      </c>
      <c r="H48" s="130">
        <f>E48+F48-G48</f>
        <v>143141.18</v>
      </c>
      <c r="I48" s="131">
        <v>133302.68</v>
      </c>
    </row>
    <row r="49" spans="1:9" x14ac:dyDescent="0.2">
      <c r="A49" s="126"/>
      <c r="B49" s="127"/>
      <c r="C49" s="127" t="s">
        <v>7</v>
      </c>
      <c r="D49" s="127"/>
      <c r="E49" s="128">
        <v>248962.12</v>
      </c>
      <c r="F49" s="129">
        <f>68582.29+721416.49</f>
        <v>789998.78</v>
      </c>
      <c r="G49" s="130">
        <f>161+163521.12</f>
        <v>163682.12</v>
      </c>
      <c r="H49" s="130">
        <f t="shared" ref="H49:H50" si="0">E49+F49-G49</f>
        <v>875278.78</v>
      </c>
      <c r="I49" s="131">
        <f>163220.29+712058.49</f>
        <v>875278.78</v>
      </c>
    </row>
    <row r="50" spans="1:9" x14ac:dyDescent="0.2">
      <c r="A50" s="126"/>
      <c r="B50" s="127"/>
      <c r="C50" s="127" t="s">
        <v>15</v>
      </c>
      <c r="D50" s="127"/>
      <c r="E50" s="128">
        <v>335742.18</v>
      </c>
      <c r="F50" s="129">
        <v>1448411</v>
      </c>
      <c r="G50" s="130">
        <v>1391234</v>
      </c>
      <c r="H50" s="130">
        <f t="shared" si="0"/>
        <v>392919.17999999993</v>
      </c>
      <c r="I50" s="131">
        <f>H50</f>
        <v>392919.17999999993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917513.42999999993</v>
      </c>
      <c r="F51" s="135">
        <f>F47+F48+F49+F50</f>
        <v>2551126.73</v>
      </c>
      <c r="G51" s="135">
        <f>G47+G48+G49+G50</f>
        <v>1915930.02</v>
      </c>
      <c r="H51" s="135">
        <f>H47+H48+H49+H50</f>
        <v>1552710.14</v>
      </c>
      <c r="I51" s="136">
        <f>I47+I48+I49+I50</f>
        <v>1542871.64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1">
    <mergeCell ref="A2:D2"/>
    <mergeCell ref="E2:I2"/>
    <mergeCell ref="E3:I3"/>
    <mergeCell ref="E4:I4"/>
    <mergeCell ref="F44:F45"/>
    <mergeCell ref="E5:I5"/>
    <mergeCell ref="E7:I7"/>
    <mergeCell ref="H12:I12"/>
    <mergeCell ref="A31:I33"/>
    <mergeCell ref="H42:I42"/>
    <mergeCell ref="A41:I41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269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177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178</v>
      </c>
      <c r="F6" s="62"/>
      <c r="G6" s="63" t="s">
        <v>39</v>
      </c>
      <c r="H6" s="64">
        <v>1200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9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5785000</v>
      </c>
      <c r="F15" s="303">
        <v>17672527.539999999</v>
      </c>
      <c r="G15" s="26">
        <f>H15+I15</f>
        <v>18107393.52</v>
      </c>
      <c r="H15" s="302">
        <v>17286725.739999998</v>
      </c>
      <c r="I15" s="302">
        <v>820667.78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5785000</v>
      </c>
      <c r="F17" s="303">
        <v>17672527.539999999</v>
      </c>
      <c r="G17" s="26">
        <f>H17+I17</f>
        <v>18362927.709999997</v>
      </c>
      <c r="H17" s="302">
        <v>17450316.629999999</v>
      </c>
      <c r="I17" s="302">
        <v>912611.08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255534.18999999762</v>
      </c>
      <c r="H23" s="91">
        <f>H17-H15-H21</f>
        <v>163590.8900000006</v>
      </c>
      <c r="I23" s="91">
        <f>I17-I15-I21</f>
        <v>91943.29999999993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255534.19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50000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205534.19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120000</v>
      </c>
      <c r="G36" s="110">
        <v>120000</v>
      </c>
      <c r="H36" s="305"/>
      <c r="I36" s="111">
        <f>G36/F36</f>
        <v>1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556000</v>
      </c>
      <c r="G37" s="110">
        <v>556920</v>
      </c>
      <c r="H37" s="305"/>
      <c r="I37" s="111">
        <f>G37/F37</f>
        <v>1.0016546762589928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418000</v>
      </c>
      <c r="G39" s="110">
        <v>418000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114" t="s">
        <v>225</v>
      </c>
    </row>
    <row r="41" spans="1:10" s="309" customFormat="1" x14ac:dyDescent="0.2">
      <c r="A41" s="449" t="s">
        <v>325</v>
      </c>
      <c r="B41" s="449"/>
      <c r="C41" s="449"/>
      <c r="D41" s="449"/>
      <c r="E41" s="449"/>
      <c r="F41" s="449"/>
      <c r="G41" s="449"/>
      <c r="H41" s="449"/>
      <c r="I41" s="449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0</v>
      </c>
      <c r="F48" s="123">
        <v>40000</v>
      </c>
      <c r="G48" s="124">
        <v>40000</v>
      </c>
      <c r="H48" s="124">
        <f>E48+F48-G48</f>
        <v>0</v>
      </c>
      <c r="I48" s="125">
        <f>H48</f>
        <v>0</v>
      </c>
    </row>
    <row r="49" spans="1:9" x14ac:dyDescent="0.2">
      <c r="A49" s="126"/>
      <c r="B49" s="127"/>
      <c r="C49" s="127" t="s">
        <v>8</v>
      </c>
      <c r="D49" s="127"/>
      <c r="E49" s="128">
        <v>50200.17</v>
      </c>
      <c r="F49" s="129">
        <v>68866</v>
      </c>
      <c r="G49" s="130">
        <v>105785</v>
      </c>
      <c r="H49" s="130">
        <f>E49+F49-G49</f>
        <v>13281.169999999998</v>
      </c>
      <c r="I49" s="131">
        <v>11983.13</v>
      </c>
    </row>
    <row r="50" spans="1:9" x14ac:dyDescent="0.2">
      <c r="A50" s="126"/>
      <c r="B50" s="127"/>
      <c r="C50" s="127" t="s">
        <v>7</v>
      </c>
      <c r="D50" s="127"/>
      <c r="E50" s="128">
        <v>1897.15</v>
      </c>
      <c r="F50" s="129">
        <v>206620.63</v>
      </c>
      <c r="G50" s="130">
        <v>208517.78</v>
      </c>
      <c r="H50" s="130">
        <f t="shared" ref="H50:H51" si="0">E50+F50-G50</f>
        <v>0</v>
      </c>
      <c r="I50" s="131">
        <f>H50</f>
        <v>0</v>
      </c>
    </row>
    <row r="51" spans="1:9" x14ac:dyDescent="0.2">
      <c r="A51" s="126"/>
      <c r="B51" s="127"/>
      <c r="C51" s="127" t="s">
        <v>15</v>
      </c>
      <c r="D51" s="127"/>
      <c r="E51" s="128">
        <v>545162.16</v>
      </c>
      <c r="F51" s="129">
        <v>559380</v>
      </c>
      <c r="G51" s="130">
        <v>418000</v>
      </c>
      <c r="H51" s="130">
        <f t="shared" si="0"/>
        <v>686542.16000000015</v>
      </c>
      <c r="I51" s="131">
        <f>H51</f>
        <v>686542.16000000015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597259.48</v>
      </c>
      <c r="F52" s="135">
        <f>F48+F49+F50+F51</f>
        <v>874866.63</v>
      </c>
      <c r="G52" s="135">
        <f>G48+G49+G50+G51</f>
        <v>772302.78</v>
      </c>
      <c r="H52" s="135">
        <f>H48+H49+H50+H51</f>
        <v>699823.33000000019</v>
      </c>
      <c r="I52" s="136">
        <f>I48+I49+I50+I51</f>
        <v>698525.29000000015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x14ac:dyDescent="0.2">
      <c r="A54" s="56"/>
      <c r="B54" s="56"/>
      <c r="C54" s="56"/>
      <c r="D54" s="56"/>
      <c r="E54" s="56"/>
      <c r="F54" s="56"/>
      <c r="G54" s="56"/>
      <c r="H54" s="56"/>
      <c r="I54" s="56"/>
    </row>
    <row r="55" spans="1:9" x14ac:dyDescent="0.2">
      <c r="A55" s="56"/>
      <c r="B55" s="56"/>
      <c r="C55" s="56"/>
      <c r="D55" s="56"/>
      <c r="E55" s="56"/>
      <c r="F55" s="56"/>
      <c r="G55" s="56"/>
      <c r="H55" s="56"/>
      <c r="I55" s="56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131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179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180</v>
      </c>
      <c r="F6" s="62"/>
      <c r="G6" s="63" t="s">
        <v>39</v>
      </c>
      <c r="H6" s="64">
        <v>1201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7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8986000</v>
      </c>
      <c r="F15" s="303">
        <v>29639205.129999999</v>
      </c>
      <c r="G15" s="26">
        <f>H15+I15</f>
        <v>29639205.129999999</v>
      </c>
      <c r="H15" s="302">
        <v>28411216.23</v>
      </c>
      <c r="I15" s="302">
        <v>1227988.8999999999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8986000</v>
      </c>
      <c r="F17" s="303">
        <v>30034862.420000002</v>
      </c>
      <c r="G17" s="26">
        <f>H17+I17</f>
        <v>29593899.440000001</v>
      </c>
      <c r="H17" s="302">
        <v>28015985.82</v>
      </c>
      <c r="I17" s="302">
        <v>1577913.62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29830</v>
      </c>
      <c r="H21" s="30">
        <v>29830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-75135.689999997616</v>
      </c>
      <c r="H23" s="91">
        <f>H17-H15-H21</f>
        <v>-425060.41000000015</v>
      </c>
      <c r="I23" s="91">
        <f>I17-I15-I21</f>
        <v>349924.7200000002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-75135.69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/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/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-75135.69</v>
      </c>
      <c r="H30" s="101"/>
      <c r="I30" s="95"/>
    </row>
    <row r="31" spans="1:9" ht="12.75" customHeight="1" x14ac:dyDescent="0.2">
      <c r="A31" s="450" t="s">
        <v>302</v>
      </c>
      <c r="B31" s="450"/>
      <c r="C31" s="450"/>
      <c r="D31" s="450"/>
      <c r="E31" s="450"/>
      <c r="F31" s="450"/>
      <c r="G31" s="450"/>
      <c r="H31" s="450"/>
      <c r="I31" s="450"/>
    </row>
    <row r="32" spans="1:9" x14ac:dyDescent="0.2">
      <c r="A32" s="450"/>
      <c r="B32" s="450"/>
      <c r="C32" s="450"/>
      <c r="D32" s="450"/>
      <c r="E32" s="450"/>
      <c r="F32" s="450"/>
      <c r="G32" s="450"/>
      <c r="H32" s="450"/>
      <c r="I32" s="450"/>
    </row>
    <row r="33" spans="1:10" x14ac:dyDescent="0.2">
      <c r="A33" s="450"/>
      <c r="B33" s="450"/>
      <c r="C33" s="450"/>
      <c r="D33" s="450"/>
      <c r="E33" s="450"/>
      <c r="F33" s="450"/>
      <c r="G33" s="450"/>
      <c r="H33" s="450"/>
      <c r="I33" s="450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s="147" customFormat="1" ht="16.5" x14ac:dyDescent="0.35">
      <c r="A36" s="108" t="s">
        <v>32</v>
      </c>
      <c r="B36" s="109"/>
      <c r="C36" s="2"/>
      <c r="D36" s="109"/>
      <c r="E36" s="81"/>
      <c r="F36" s="110">
        <v>24000</v>
      </c>
      <c r="G36" s="110">
        <v>24000</v>
      </c>
      <c r="H36" s="305"/>
      <c r="I36" s="111">
        <f>G36/F36</f>
        <v>1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2718072</v>
      </c>
      <c r="G37" s="110">
        <v>2715558.8</v>
      </c>
      <c r="H37" s="305"/>
      <c r="I37" s="111">
        <f>G37/F37</f>
        <v>0.9990753740151106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2042072</v>
      </c>
      <c r="G39" s="110">
        <v>2042072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5.75" customHeight="1" x14ac:dyDescent="0.2">
      <c r="A41" s="449" t="s">
        <v>321</v>
      </c>
      <c r="B41" s="449"/>
      <c r="C41" s="449"/>
      <c r="D41" s="449"/>
      <c r="E41" s="449"/>
      <c r="F41" s="449"/>
      <c r="G41" s="449"/>
      <c r="H41" s="449"/>
      <c r="I41" s="449"/>
      <c r="J41" s="58"/>
    </row>
    <row r="42" spans="1:10" ht="12.75" customHeight="1" x14ac:dyDescent="0.2">
      <c r="A42" s="449" t="s">
        <v>327</v>
      </c>
      <c r="B42" s="449"/>
      <c r="C42" s="449"/>
      <c r="D42" s="449"/>
      <c r="E42" s="449"/>
      <c r="F42" s="449"/>
      <c r="G42" s="449"/>
      <c r="H42" s="449"/>
      <c r="I42" s="449"/>
      <c r="J42" s="58"/>
    </row>
    <row r="43" spans="1:10" ht="18" x14ac:dyDescent="0.35">
      <c r="A43" s="108"/>
      <c r="B43" s="115"/>
      <c r="C43" s="115"/>
      <c r="D43" s="81"/>
      <c r="E43" s="81"/>
      <c r="F43" s="116"/>
      <c r="G43" s="110"/>
      <c r="H43" s="94"/>
      <c r="I43" s="111"/>
    </row>
    <row r="44" spans="1:10" ht="19.5" thickBot="1" x14ac:dyDescent="0.45">
      <c r="A44" s="77" t="s">
        <v>11</v>
      </c>
      <c r="B44" s="77" t="s">
        <v>12</v>
      </c>
      <c r="C44" s="79"/>
      <c r="D44" s="81"/>
      <c r="E44" s="81"/>
      <c r="F44" s="118"/>
      <c r="G44" s="119"/>
      <c r="H44" s="419" t="s">
        <v>119</v>
      </c>
      <c r="I44" s="420"/>
    </row>
    <row r="45" spans="1:10" ht="18.75" thickTop="1" x14ac:dyDescent="0.35">
      <c r="A45" s="281"/>
      <c r="B45" s="282"/>
      <c r="C45" s="283"/>
      <c r="D45" s="282"/>
      <c r="E45" s="284" t="s">
        <v>288</v>
      </c>
      <c r="F45" s="285" t="s">
        <v>9</v>
      </c>
      <c r="G45" s="286" t="s">
        <v>10</v>
      </c>
      <c r="H45" s="287" t="s">
        <v>13</v>
      </c>
      <c r="I45" s="288" t="s">
        <v>120</v>
      </c>
    </row>
    <row r="46" spans="1:10" x14ac:dyDescent="0.2">
      <c r="A46" s="289"/>
      <c r="B46" s="290"/>
      <c r="C46" s="290"/>
      <c r="D46" s="290"/>
      <c r="E46" s="289"/>
      <c r="F46" s="415"/>
      <c r="G46" s="291"/>
      <c r="H46" s="292">
        <v>41274</v>
      </c>
      <c r="I46" s="293">
        <v>41274</v>
      </c>
    </row>
    <row r="47" spans="1:10" x14ac:dyDescent="0.2">
      <c r="A47" s="289"/>
      <c r="B47" s="290"/>
      <c r="C47" s="290"/>
      <c r="D47" s="290"/>
      <c r="E47" s="289"/>
      <c r="F47" s="415"/>
      <c r="G47" s="294"/>
      <c r="H47" s="294"/>
      <c r="I47" s="295"/>
    </row>
    <row r="48" spans="1:10" ht="13.5" thickBot="1" x14ac:dyDescent="0.25">
      <c r="A48" s="296"/>
      <c r="B48" s="297"/>
      <c r="C48" s="297"/>
      <c r="D48" s="297"/>
      <c r="E48" s="296"/>
      <c r="F48" s="298"/>
      <c r="G48" s="299"/>
      <c r="H48" s="299"/>
      <c r="I48" s="300"/>
    </row>
    <row r="49" spans="1:9" s="83" customFormat="1" ht="13.5" thickTop="1" x14ac:dyDescent="0.2">
      <c r="A49" s="160"/>
      <c r="B49" s="161"/>
      <c r="C49" s="161" t="s">
        <v>6</v>
      </c>
      <c r="D49" s="161"/>
      <c r="E49" s="162">
        <v>9675</v>
      </c>
      <c r="F49" s="163">
        <v>25000</v>
      </c>
      <c r="G49" s="164">
        <v>21200</v>
      </c>
      <c r="H49" s="164">
        <f>E49+F49-G49</f>
        <v>13475</v>
      </c>
      <c r="I49" s="165">
        <f>H49</f>
        <v>13475</v>
      </c>
    </row>
    <row r="50" spans="1:9" s="83" customFormat="1" x14ac:dyDescent="0.2">
      <c r="A50" s="166"/>
      <c r="B50" s="167"/>
      <c r="C50" s="167" t="s">
        <v>8</v>
      </c>
      <c r="D50" s="167"/>
      <c r="E50" s="168">
        <v>272314.28000000003</v>
      </c>
      <c r="F50" s="169">
        <v>149044</v>
      </c>
      <c r="G50" s="148">
        <v>170494.3</v>
      </c>
      <c r="H50" s="148">
        <f>E50+F50-G50</f>
        <v>250863.98000000004</v>
      </c>
      <c r="I50" s="170">
        <v>139137.76</v>
      </c>
    </row>
    <row r="51" spans="1:9" s="83" customFormat="1" x14ac:dyDescent="0.2">
      <c r="A51" s="166"/>
      <c r="B51" s="167"/>
      <c r="C51" s="167" t="s">
        <v>7</v>
      </c>
      <c r="D51" s="167"/>
      <c r="E51" s="168">
        <v>1086363.1200000001</v>
      </c>
      <c r="F51" s="169">
        <f>66557.1+575336.2</f>
        <v>641893.29999999993</v>
      </c>
      <c r="G51" s="148">
        <v>710800</v>
      </c>
      <c r="H51" s="148">
        <f t="shared" ref="H51:H52" si="0">E51+F51-G51</f>
        <v>1017456.4199999999</v>
      </c>
      <c r="I51" s="170">
        <f>430713.12+576186.2</f>
        <v>1006899.32</v>
      </c>
    </row>
    <row r="52" spans="1:9" s="83" customFormat="1" x14ac:dyDescent="0.2">
      <c r="A52" s="166"/>
      <c r="B52" s="167"/>
      <c r="C52" s="167" t="s">
        <v>15</v>
      </c>
      <c r="D52" s="167"/>
      <c r="E52" s="168">
        <v>1443584.1</v>
      </c>
      <c r="F52" s="169">
        <v>3418794.8</v>
      </c>
      <c r="G52" s="148">
        <v>4100073.4</v>
      </c>
      <c r="H52" s="148">
        <f t="shared" si="0"/>
        <v>762305.50000000047</v>
      </c>
      <c r="I52" s="170">
        <f>H52</f>
        <v>762305.50000000047</v>
      </c>
    </row>
    <row r="53" spans="1:9" s="147" customFormat="1" ht="18.75" thickBot="1" x14ac:dyDescent="0.4">
      <c r="A53" s="132" t="s">
        <v>2</v>
      </c>
      <c r="B53" s="133"/>
      <c r="C53" s="133"/>
      <c r="D53" s="133"/>
      <c r="E53" s="134">
        <f>E49+E50+E51+E52</f>
        <v>2811936.5</v>
      </c>
      <c r="F53" s="135">
        <f>F49+F50+F51+F52</f>
        <v>4234732.0999999996</v>
      </c>
      <c r="G53" s="135">
        <f>G49+G50+G51+G52</f>
        <v>5002567.7</v>
      </c>
      <c r="H53" s="135">
        <f>H49+H50+H51+H52</f>
        <v>2044100.9000000004</v>
      </c>
      <c r="I53" s="136">
        <f>I49+I50+I51+I52</f>
        <v>1921817.5800000005</v>
      </c>
    </row>
    <row r="54" spans="1:9" ht="18.75" thickTop="1" x14ac:dyDescent="0.35">
      <c r="A54" s="137"/>
      <c r="B54" s="115"/>
      <c r="C54" s="115"/>
      <c r="D54" s="81"/>
      <c r="E54" s="81"/>
      <c r="F54" s="118"/>
      <c r="G54" s="119"/>
      <c r="H54" s="138"/>
      <c r="I54" s="138"/>
    </row>
    <row r="55" spans="1:9" ht="18" x14ac:dyDescent="0.35">
      <c r="A55" s="137"/>
      <c r="B55" s="115"/>
      <c r="C55" s="115"/>
      <c r="D55" s="81"/>
      <c r="E55" s="81"/>
      <c r="F55" s="118"/>
      <c r="G55" s="139"/>
      <c r="H55" s="140"/>
      <c r="I55" s="140"/>
    </row>
    <row r="56" spans="1:9" ht="18" x14ac:dyDescent="0.35">
      <c r="A56" s="141"/>
      <c r="B56" s="142"/>
      <c r="C56" s="142"/>
      <c r="D56" s="143"/>
      <c r="E56" s="143"/>
      <c r="F56" s="140"/>
      <c r="G56" s="140"/>
      <c r="H56" s="140"/>
      <c r="I56" s="140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x14ac:dyDescent="0.2">
      <c r="A58" s="144"/>
      <c r="B58" s="144"/>
      <c r="C58" s="144"/>
      <c r="D58" s="144"/>
      <c r="E58" s="144"/>
      <c r="F58" s="144"/>
      <c r="G58" s="144"/>
      <c r="H58" s="144"/>
      <c r="I58" s="144"/>
    </row>
  </sheetData>
  <mergeCells count="12">
    <mergeCell ref="F46:F47"/>
    <mergeCell ref="E5:I5"/>
    <mergeCell ref="E7:I7"/>
    <mergeCell ref="H12:I12"/>
    <mergeCell ref="A31:I33"/>
    <mergeCell ref="A41:I41"/>
    <mergeCell ref="A42:I42"/>
    <mergeCell ref="A2:D2"/>
    <mergeCell ref="E2:I2"/>
    <mergeCell ref="E3:I3"/>
    <mergeCell ref="E4:I4"/>
    <mergeCell ref="H44:I44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5.425781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254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255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181</v>
      </c>
      <c r="F6" s="62"/>
      <c r="G6" s="63" t="s">
        <v>39</v>
      </c>
      <c r="H6" s="64">
        <v>1202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44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8896000</v>
      </c>
      <c r="F15" s="303">
        <v>16156198.939999999</v>
      </c>
      <c r="G15" s="26">
        <f>H15+I15</f>
        <v>30486666.940000001</v>
      </c>
      <c r="H15" s="302">
        <v>29801814.940000001</v>
      </c>
      <c r="I15" s="302">
        <v>684852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9018000</v>
      </c>
      <c r="F17" s="303">
        <v>30707787.260000002</v>
      </c>
      <c r="G17" s="26">
        <f>H17+I17</f>
        <v>30720133.870000001</v>
      </c>
      <c r="H17" s="302">
        <v>29834624.870000001</v>
      </c>
      <c r="I17" s="302">
        <v>885509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233466.9299999997</v>
      </c>
      <c r="H23" s="91">
        <f>H17-H15-H21</f>
        <v>32809.929999999702</v>
      </c>
      <c r="I23" s="91">
        <f>I17-I15-I21</f>
        <v>200657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233466.93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130427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103039.93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981828</v>
      </c>
      <c r="G37" s="110">
        <v>981828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751828</v>
      </c>
      <c r="G39" s="110">
        <v>751828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366" t="s">
        <v>225</v>
      </c>
    </row>
    <row r="41" spans="1:10" x14ac:dyDescent="0.2">
      <c r="A41" s="429"/>
      <c r="B41" s="429"/>
      <c r="C41" s="429"/>
      <c r="D41" s="429"/>
      <c r="E41" s="429"/>
      <c r="F41" s="429"/>
      <c r="G41" s="429"/>
      <c r="H41" s="429"/>
      <c r="I41" s="429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4100</v>
      </c>
      <c r="F48" s="123">
        <v>40000</v>
      </c>
      <c r="G48" s="124">
        <v>39000</v>
      </c>
      <c r="H48" s="124">
        <f>E48+F48-G48</f>
        <v>5100</v>
      </c>
      <c r="I48" s="125">
        <f>H48</f>
        <v>5100</v>
      </c>
    </row>
    <row r="49" spans="1:9" x14ac:dyDescent="0.2">
      <c r="A49" s="126"/>
      <c r="B49" s="127"/>
      <c r="C49" s="127" t="s">
        <v>8</v>
      </c>
      <c r="D49" s="127"/>
      <c r="E49" s="128">
        <v>138276.87</v>
      </c>
      <c r="F49" s="129">
        <v>138675</v>
      </c>
      <c r="G49" s="130">
        <v>133873</v>
      </c>
      <c r="H49" s="130">
        <f>E49+F49-G49</f>
        <v>143078.87</v>
      </c>
      <c r="I49" s="131">
        <v>134854.15</v>
      </c>
    </row>
    <row r="50" spans="1:9" x14ac:dyDescent="0.2">
      <c r="A50" s="126"/>
      <c r="B50" s="127"/>
      <c r="C50" s="127" t="s">
        <v>7</v>
      </c>
      <c r="D50" s="127"/>
      <c r="E50" s="128">
        <v>557482.74</v>
      </c>
      <c r="F50" s="129">
        <f>215856+680794.4</f>
        <v>896650.4</v>
      </c>
      <c r="G50" s="130">
        <v>382108.88</v>
      </c>
      <c r="H50" s="130">
        <f>E50+F50-G50</f>
        <v>1072024.2600000002</v>
      </c>
      <c r="I50" s="131">
        <f>H50</f>
        <v>1072024.2600000002</v>
      </c>
    </row>
    <row r="51" spans="1:9" x14ac:dyDescent="0.2">
      <c r="A51" s="126"/>
      <c r="B51" s="127"/>
      <c r="C51" s="127" t="s">
        <v>15</v>
      </c>
      <c r="D51" s="127"/>
      <c r="E51" s="128">
        <v>76170.55</v>
      </c>
      <c r="F51" s="129">
        <v>1128236</v>
      </c>
      <c r="G51" s="130">
        <v>1046908</v>
      </c>
      <c r="H51" s="130">
        <f>E51+F51-G51</f>
        <v>157498.55000000005</v>
      </c>
      <c r="I51" s="131">
        <f>H51</f>
        <v>157498.55000000005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776030.16</v>
      </c>
      <c r="F52" s="135">
        <f>F48+F49+F50+F51</f>
        <v>2203561.4</v>
      </c>
      <c r="G52" s="135">
        <f>G48+G49+G50+G51</f>
        <v>1601889.88</v>
      </c>
      <c r="H52" s="135">
        <f>H48+H49+H50+H51</f>
        <v>1377701.6800000004</v>
      </c>
      <c r="I52" s="136">
        <f>I48+I49+I50+I51</f>
        <v>1369476.9600000002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t="13.5" thickTop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theme="3" tint="0.59999389629810485"/>
  </sheetPr>
  <dimension ref="A1:I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132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182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183</v>
      </c>
      <c r="F6" s="62"/>
      <c r="G6" s="63" t="s">
        <v>39</v>
      </c>
      <c r="H6" s="64">
        <v>1204</v>
      </c>
    </row>
    <row r="7" spans="1:9" ht="9.75" customHeight="1" x14ac:dyDescent="0.4">
      <c r="A7" s="60"/>
      <c r="E7" s="413" t="s">
        <v>110</v>
      </c>
      <c r="F7" s="413"/>
      <c r="G7" s="413"/>
      <c r="H7" s="413"/>
      <c r="I7" s="413"/>
    </row>
    <row r="8" spans="1:9" ht="2.25" customHeight="1" x14ac:dyDescent="0.4">
      <c r="A8" s="60"/>
      <c r="E8" s="65"/>
      <c r="F8" s="65"/>
      <c r="G8" s="65"/>
      <c r="H8" s="63"/>
      <c r="I8" s="65"/>
    </row>
    <row r="9" spans="1:9" ht="36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24945000</v>
      </c>
      <c r="F15" s="303">
        <v>76894453.519999996</v>
      </c>
      <c r="G15" s="26">
        <f>H15+I15</f>
        <v>75808480.25</v>
      </c>
      <c r="H15" s="302">
        <v>71410392.030000001</v>
      </c>
      <c r="I15" s="302">
        <v>4398088.22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24945000</v>
      </c>
      <c r="F17" s="303">
        <v>77618453.519999996</v>
      </c>
      <c r="G17" s="26">
        <f>H17+I17</f>
        <v>76171509.260000005</v>
      </c>
      <c r="H17" s="302">
        <v>70396882.469999999</v>
      </c>
      <c r="I17" s="302">
        <v>5774626.79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159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202200</v>
      </c>
      <c r="H21" s="30">
        <v>0</v>
      </c>
      <c r="I21" s="30">
        <v>202200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160829.01000000536</v>
      </c>
      <c r="H23" s="91">
        <f>H17-H15-H21</f>
        <v>-1013509.5600000024</v>
      </c>
      <c r="I23" s="91">
        <f>I17-I15-I21</f>
        <v>1174338.5700000003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160829.01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140829.01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9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9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9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9" ht="16.5" x14ac:dyDescent="0.35">
      <c r="A36" s="108" t="s">
        <v>32</v>
      </c>
      <c r="B36" s="109"/>
      <c r="C36" s="2"/>
      <c r="D36" s="109"/>
      <c r="E36" s="81"/>
      <c r="F36" s="110">
        <v>100000</v>
      </c>
      <c r="G36" s="110">
        <v>52035</v>
      </c>
      <c r="H36" s="305"/>
      <c r="I36" s="111">
        <f>G36/F36</f>
        <v>0.52034999999999998</v>
      </c>
    </row>
    <row r="37" spans="1:9" ht="16.5" x14ac:dyDescent="0.35">
      <c r="A37" s="108" t="s">
        <v>117</v>
      </c>
      <c r="B37" s="109"/>
      <c r="C37" s="2"/>
      <c r="D37" s="112"/>
      <c r="E37" s="112"/>
      <c r="F37" s="110">
        <v>3050050</v>
      </c>
      <c r="G37" s="110">
        <v>3050050</v>
      </c>
      <c r="H37" s="305"/>
      <c r="I37" s="111">
        <f>G37/F37</f>
        <v>1</v>
      </c>
    </row>
    <row r="38" spans="1:9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9" ht="16.5" x14ac:dyDescent="0.35">
      <c r="A39" s="108" t="s">
        <v>220</v>
      </c>
      <c r="B39" s="109"/>
      <c r="C39" s="2"/>
      <c r="D39" s="81"/>
      <c r="E39" s="81"/>
      <c r="F39" s="110">
        <v>2308050</v>
      </c>
      <c r="G39" s="110">
        <v>2308050</v>
      </c>
      <c r="H39" s="305"/>
      <c r="I39" s="111">
        <f>G39/F39</f>
        <v>1</v>
      </c>
    </row>
    <row r="40" spans="1:9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9" ht="18" x14ac:dyDescent="0.35">
      <c r="A41" s="108"/>
      <c r="B41" s="115"/>
      <c r="C41" s="115"/>
      <c r="D41" s="81"/>
      <c r="E41" s="81"/>
      <c r="F41" s="116"/>
      <c r="G41" s="110"/>
      <c r="H41" s="94"/>
      <c r="I41" s="111"/>
    </row>
    <row r="42" spans="1:9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9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9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9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9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9" ht="13.5" thickTop="1" x14ac:dyDescent="0.2">
      <c r="A47" s="120"/>
      <c r="B47" s="121"/>
      <c r="C47" s="121" t="s">
        <v>6</v>
      </c>
      <c r="D47" s="121"/>
      <c r="E47" s="122">
        <v>51300</v>
      </c>
      <c r="F47" s="123">
        <v>15000</v>
      </c>
      <c r="G47" s="124">
        <v>24100</v>
      </c>
      <c r="H47" s="124">
        <f>E47+F47-G47</f>
        <v>42200</v>
      </c>
      <c r="I47" s="125">
        <f>H47</f>
        <v>42200</v>
      </c>
    </row>
    <row r="48" spans="1:9" x14ac:dyDescent="0.2">
      <c r="A48" s="126"/>
      <c r="B48" s="127"/>
      <c r="C48" s="127" t="s">
        <v>8</v>
      </c>
      <c r="D48" s="127"/>
      <c r="E48" s="128">
        <v>521542.3</v>
      </c>
      <c r="F48" s="129">
        <v>362847</v>
      </c>
      <c r="G48" s="130">
        <v>462716.5</v>
      </c>
      <c r="H48" s="130">
        <f>E48+F48-G48</f>
        <v>421672.80000000005</v>
      </c>
      <c r="I48" s="131">
        <v>428259.84000000003</v>
      </c>
    </row>
    <row r="49" spans="1:9" x14ac:dyDescent="0.2">
      <c r="A49" s="126"/>
      <c r="B49" s="127"/>
      <c r="C49" s="127" t="s">
        <v>7</v>
      </c>
      <c r="D49" s="127"/>
      <c r="E49" s="128">
        <v>181528.62</v>
      </c>
      <c r="F49" s="129">
        <f>130217.17+1224814.1</f>
        <v>1355031.27</v>
      </c>
      <c r="G49" s="130">
        <f>111160+57270</f>
        <v>168430</v>
      </c>
      <c r="H49" s="130">
        <f t="shared" ref="H49:H50" si="0">E49+F49-G49</f>
        <v>1368129.8900000001</v>
      </c>
      <c r="I49" s="131">
        <f>H49</f>
        <v>1368129.8900000001</v>
      </c>
    </row>
    <row r="50" spans="1:9" x14ac:dyDescent="0.2">
      <c r="A50" s="126"/>
      <c r="B50" s="127"/>
      <c r="C50" s="127" t="s">
        <v>15</v>
      </c>
      <c r="D50" s="127"/>
      <c r="E50" s="128">
        <v>179317.38</v>
      </c>
      <c r="F50" s="129">
        <v>3665755.52</v>
      </c>
      <c r="G50" s="130">
        <v>3187572.96</v>
      </c>
      <c r="H50" s="130">
        <f t="shared" si="0"/>
        <v>657499.93999999994</v>
      </c>
      <c r="I50" s="131">
        <f>H50</f>
        <v>657499.93999999994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933688.3</v>
      </c>
      <c r="F51" s="135">
        <f>F47+F48+F49+F50</f>
        <v>5398633.79</v>
      </c>
      <c r="G51" s="135">
        <f>G47+G48+G49+G50</f>
        <v>3842819.46</v>
      </c>
      <c r="H51" s="135">
        <f>H47+H48+H49+H50</f>
        <v>2489502.63</v>
      </c>
      <c r="I51" s="136">
        <f>I47+I48+I49+I50</f>
        <v>2496089.67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0">
    <mergeCell ref="A31:I33"/>
    <mergeCell ref="H42:I42"/>
    <mergeCell ref="F44:F45"/>
    <mergeCell ref="A2:D2"/>
    <mergeCell ref="E2:I2"/>
    <mergeCell ref="E4:I4"/>
    <mergeCell ref="H12:I12"/>
    <mergeCell ref="E3:I3"/>
    <mergeCell ref="E5:I5"/>
    <mergeCell ref="E7:I7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123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184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185</v>
      </c>
      <c r="F6" s="62"/>
      <c r="G6" s="63" t="s">
        <v>39</v>
      </c>
      <c r="H6" s="64">
        <v>1205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6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6690000</v>
      </c>
      <c r="F15" s="303">
        <v>24053900</v>
      </c>
      <c r="G15" s="26">
        <f>H15+I15</f>
        <v>24104198.920000002</v>
      </c>
      <c r="H15" s="302">
        <v>23342285.710000001</v>
      </c>
      <c r="I15" s="302">
        <v>761913.21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6690000</v>
      </c>
      <c r="F17" s="303">
        <v>25146176.760000002</v>
      </c>
      <c r="G17" s="26">
        <f>H17+I17</f>
        <v>24561388.59</v>
      </c>
      <c r="H17" s="302">
        <v>23555199.789999999</v>
      </c>
      <c r="I17" s="302">
        <v>1006188.8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457189.66999999806</v>
      </c>
      <c r="H23" s="91">
        <f>H17-H15-H21</f>
        <v>212914.07999999821</v>
      </c>
      <c r="I23" s="91">
        <f>I17-I15-I21</f>
        <v>244275.59000000008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457189.67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432189.67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150000</v>
      </c>
      <c r="G36" s="110">
        <v>103940</v>
      </c>
      <c r="H36" s="305"/>
      <c r="I36" s="111">
        <f>G36/F36</f>
        <v>0.69293333333333329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997581</v>
      </c>
      <c r="G37" s="110">
        <v>997581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875581</v>
      </c>
      <c r="G39" s="110">
        <v>875581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9"/>
      <c r="B41" s="423"/>
      <c r="C41" s="423"/>
      <c r="D41" s="423"/>
      <c r="E41" s="423"/>
      <c r="F41" s="423"/>
      <c r="G41" s="423"/>
      <c r="H41" s="423"/>
      <c r="I41" s="423"/>
      <c r="J41" s="117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4848</v>
      </c>
      <c r="F48" s="123">
        <v>40000</v>
      </c>
      <c r="G48" s="124">
        <v>10700</v>
      </c>
      <c r="H48" s="124">
        <f>E48+F48-G48</f>
        <v>34148</v>
      </c>
      <c r="I48" s="125">
        <f>H48</f>
        <v>34148</v>
      </c>
    </row>
    <row r="49" spans="1:9" x14ac:dyDescent="0.2">
      <c r="A49" s="126"/>
      <c r="B49" s="127"/>
      <c r="C49" s="127" t="s">
        <v>8</v>
      </c>
      <c r="D49" s="127"/>
      <c r="E49" s="128">
        <v>46723.74</v>
      </c>
      <c r="F49" s="129">
        <v>122943</v>
      </c>
      <c r="G49" s="130">
        <v>123415</v>
      </c>
      <c r="H49" s="130">
        <f>E49+F49-G49</f>
        <v>46251.739999999991</v>
      </c>
      <c r="I49" s="131">
        <v>45356.99</v>
      </c>
    </row>
    <row r="50" spans="1:9" x14ac:dyDescent="0.2">
      <c r="A50" s="126"/>
      <c r="B50" s="127"/>
      <c r="C50" s="127" t="s">
        <v>7</v>
      </c>
      <c r="D50" s="127"/>
      <c r="E50" s="128">
        <v>425719.96</v>
      </c>
      <c r="F50" s="129">
        <f>249267.57+535435.6</f>
        <v>784703.16999999993</v>
      </c>
      <c r="G50" s="130">
        <v>0</v>
      </c>
      <c r="H50" s="130">
        <f t="shared" ref="H50:H51" si="0">E50+F50-G50</f>
        <v>1210423.1299999999</v>
      </c>
      <c r="I50" s="131">
        <f>H50</f>
        <v>1210423.1299999999</v>
      </c>
    </row>
    <row r="51" spans="1:9" x14ac:dyDescent="0.2">
      <c r="A51" s="126"/>
      <c r="B51" s="127"/>
      <c r="C51" s="127" t="s">
        <v>15</v>
      </c>
      <c r="D51" s="127"/>
      <c r="E51" s="128">
        <v>260240.6</v>
      </c>
      <c r="F51" s="129">
        <v>1016613</v>
      </c>
      <c r="G51" s="130">
        <v>1261306</v>
      </c>
      <c r="H51" s="130">
        <f t="shared" si="0"/>
        <v>15547.600000000093</v>
      </c>
      <c r="I51" s="131">
        <f>H51</f>
        <v>15547.600000000093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737532.3</v>
      </c>
      <c r="F52" s="135">
        <f>F48+F49+F50+F51</f>
        <v>1964259.17</v>
      </c>
      <c r="G52" s="135">
        <f>G48+G49+G50+G51</f>
        <v>1395421</v>
      </c>
      <c r="H52" s="135">
        <f>H48+H49+H50+H51</f>
        <v>1306370.47</v>
      </c>
      <c r="I52" s="136">
        <f>I48+I49+I50+I51</f>
        <v>1305475.72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H12:I12"/>
    <mergeCell ref="E5:I5"/>
    <mergeCell ref="E7:I7"/>
    <mergeCell ref="A31:I33"/>
    <mergeCell ref="A41:I41"/>
    <mergeCell ref="A2:D2"/>
    <mergeCell ref="E2:I2"/>
    <mergeCell ref="E4:I4"/>
    <mergeCell ref="E3:I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11" t="s">
        <v>124</v>
      </c>
      <c r="F2" s="412"/>
      <c r="G2" s="412"/>
      <c r="H2" s="412"/>
      <c r="I2" s="412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14" t="s">
        <v>138</v>
      </c>
      <c r="F4" s="414"/>
      <c r="G4" s="414"/>
      <c r="H4" s="414"/>
      <c r="I4" s="41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177">
        <v>66181500</v>
      </c>
      <c r="F6" s="62"/>
      <c r="G6" s="63" t="s">
        <v>39</v>
      </c>
      <c r="H6" s="64">
        <v>1001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6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479000</v>
      </c>
      <c r="F15" s="303">
        <v>3071227.48</v>
      </c>
      <c r="G15" s="26">
        <f>H15+I15</f>
        <v>3071227.48</v>
      </c>
      <c r="H15" s="302">
        <v>3071227.48</v>
      </c>
      <c r="I15" s="302">
        <v>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479000</v>
      </c>
      <c r="F17" s="303">
        <v>3071483.43</v>
      </c>
      <c r="G17" s="26">
        <f>H17+I17</f>
        <v>3071483.43</v>
      </c>
      <c r="H17" s="302">
        <v>3071483.43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255.95000000018626</v>
      </c>
      <c r="H23" s="91">
        <f>H17-H15-H21</f>
        <v>255.95000000018626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255.95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255.95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66487</v>
      </c>
      <c r="G37" s="110">
        <v>66487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49866</v>
      </c>
      <c r="G39" s="110">
        <v>49866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3"/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2050</v>
      </c>
      <c r="F48" s="123">
        <v>0</v>
      </c>
      <c r="G48" s="124">
        <v>0</v>
      </c>
      <c r="H48" s="249">
        <f>E48+F48-G48</f>
        <v>2050</v>
      </c>
      <c r="I48" s="125">
        <f>H48</f>
        <v>2050</v>
      </c>
    </row>
    <row r="49" spans="1:9" x14ac:dyDescent="0.2">
      <c r="A49" s="126"/>
      <c r="B49" s="127"/>
      <c r="C49" s="127" t="s">
        <v>8</v>
      </c>
      <c r="D49" s="127"/>
      <c r="E49" s="128">
        <v>13790.7</v>
      </c>
      <c r="F49" s="129">
        <v>18670</v>
      </c>
      <c r="G49" s="130">
        <v>26308</v>
      </c>
      <c r="H49" s="250">
        <f>E49+F49-G49</f>
        <v>6152.7000000000007</v>
      </c>
      <c r="I49" s="131">
        <v>6074.75</v>
      </c>
    </row>
    <row r="50" spans="1:9" x14ac:dyDescent="0.2">
      <c r="A50" s="126"/>
      <c r="B50" s="127"/>
      <c r="C50" s="127" t="s">
        <v>7</v>
      </c>
      <c r="D50" s="127"/>
      <c r="E50" s="128">
        <v>10034.08</v>
      </c>
      <c r="F50" s="129">
        <f>239.54+147856</f>
        <v>148095.54</v>
      </c>
      <c r="G50" s="130">
        <v>55845.95</v>
      </c>
      <c r="H50" s="250">
        <f t="shared" ref="H50:H51" si="0">E50+F50-G50</f>
        <v>102283.67</v>
      </c>
      <c r="I50" s="131">
        <f>H50</f>
        <v>102283.67</v>
      </c>
    </row>
    <row r="51" spans="1:9" x14ac:dyDescent="0.2">
      <c r="A51" s="126"/>
      <c r="B51" s="127"/>
      <c r="C51" s="127" t="s">
        <v>15</v>
      </c>
      <c r="D51" s="127"/>
      <c r="E51" s="128">
        <v>222063.79</v>
      </c>
      <c r="F51" s="129">
        <v>77487</v>
      </c>
      <c r="G51" s="130">
        <v>277483</v>
      </c>
      <c r="H51" s="250">
        <f t="shared" si="0"/>
        <v>22067.790000000037</v>
      </c>
      <c r="I51" s="131">
        <f>H51</f>
        <v>22067.790000000037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247938.57</v>
      </c>
      <c r="F52" s="135">
        <f>F48+F49+F50+F51</f>
        <v>244252.54</v>
      </c>
      <c r="G52" s="135">
        <f>G48+G49+G50+G51</f>
        <v>359636.95</v>
      </c>
      <c r="H52" s="135">
        <f>H48+H49+H50+H51</f>
        <v>132554.16000000003</v>
      </c>
      <c r="I52" s="136">
        <f>I48+I49+I50+I51</f>
        <v>132476.21000000002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7.710937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256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186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187</v>
      </c>
      <c r="F6" s="62"/>
      <c r="G6" s="63" t="s">
        <v>39</v>
      </c>
      <c r="H6" s="64">
        <v>1206</v>
      </c>
    </row>
    <row r="7" spans="1:9" ht="9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6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6969000</v>
      </c>
      <c r="F15" s="303">
        <v>37090242.009999998</v>
      </c>
      <c r="G15" s="26">
        <f>H15+I15</f>
        <v>37090242.009999998</v>
      </c>
      <c r="H15" s="302">
        <v>36786842.509999998</v>
      </c>
      <c r="I15" s="28">
        <v>303399.5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6969000</v>
      </c>
      <c r="F17" s="303">
        <v>37144314.609999999</v>
      </c>
      <c r="G17" s="26">
        <f>H17+I17</f>
        <v>37090242.009999998</v>
      </c>
      <c r="H17" s="302">
        <v>36615546.509999998</v>
      </c>
      <c r="I17" s="28">
        <v>474695.5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0</v>
      </c>
      <c r="H23" s="91">
        <f>H17-H15-H21</f>
        <v>-171296</v>
      </c>
      <c r="I23" s="91">
        <f>I17-I15-I21</f>
        <v>171296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0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0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258000</v>
      </c>
      <c r="G36" s="110">
        <v>157267</v>
      </c>
      <c r="H36" s="305"/>
      <c r="I36" s="111">
        <f>G36/F36</f>
        <v>0.60956201550387601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323000</v>
      </c>
      <c r="G37" s="110">
        <v>321700</v>
      </c>
      <c r="H37" s="305"/>
      <c r="I37" s="111">
        <f>G37/F37</f>
        <v>0.99597523219814244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242000</v>
      </c>
      <c r="G39" s="110">
        <v>242000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8" customHeight="1" x14ac:dyDescent="0.2">
      <c r="A41" s="451" t="s">
        <v>322</v>
      </c>
      <c r="B41" s="451"/>
      <c r="C41" s="451"/>
      <c r="D41" s="451"/>
      <c r="E41" s="451"/>
      <c r="F41" s="451"/>
      <c r="G41" s="451"/>
      <c r="H41" s="451"/>
      <c r="I41" s="451"/>
    </row>
    <row r="42" spans="1:10" ht="18" x14ac:dyDescent="0.35">
      <c r="A42" s="108"/>
      <c r="B42" s="151"/>
      <c r="C42" s="151"/>
      <c r="D42" s="152"/>
      <c r="E42" s="152"/>
      <c r="F42" s="153"/>
      <c r="G42" s="154"/>
      <c r="H42" s="94"/>
      <c r="I42" s="155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173408.72</v>
      </c>
      <c r="F48" s="123">
        <v>0</v>
      </c>
      <c r="G48" s="124">
        <v>4000</v>
      </c>
      <c r="H48" s="124">
        <f>E48+F48-G48</f>
        <v>169408.72</v>
      </c>
      <c r="I48" s="125">
        <f>H48</f>
        <v>169408.72</v>
      </c>
    </row>
    <row r="49" spans="1:9" x14ac:dyDescent="0.2">
      <c r="A49" s="126"/>
      <c r="B49" s="127"/>
      <c r="C49" s="127" t="s">
        <v>8</v>
      </c>
      <c r="D49" s="127"/>
      <c r="E49" s="128">
        <v>956716.9</v>
      </c>
      <c r="F49" s="129">
        <v>209818</v>
      </c>
      <c r="G49" s="130">
        <v>295699</v>
      </c>
      <c r="H49" s="130">
        <f>E49+F49-G49</f>
        <v>870835.89999999991</v>
      </c>
      <c r="I49" s="131">
        <v>728996.03</v>
      </c>
    </row>
    <row r="50" spans="1:9" x14ac:dyDescent="0.2">
      <c r="A50" s="126"/>
      <c r="B50" s="127"/>
      <c r="C50" s="127" t="s">
        <v>7</v>
      </c>
      <c r="D50" s="127"/>
      <c r="E50" s="128">
        <v>417501.55</v>
      </c>
      <c r="F50" s="129">
        <v>125478.6</v>
      </c>
      <c r="G50" s="130">
        <v>0</v>
      </c>
      <c r="H50" s="130">
        <f t="shared" ref="H50:H51" si="0">E50+F50-G50</f>
        <v>542980.15</v>
      </c>
      <c r="I50" s="131">
        <f>H50</f>
        <v>542980.15</v>
      </c>
    </row>
    <row r="51" spans="1:9" x14ac:dyDescent="0.2">
      <c r="A51" s="126"/>
      <c r="B51" s="127"/>
      <c r="C51" s="127" t="s">
        <v>15</v>
      </c>
      <c r="D51" s="127"/>
      <c r="E51" s="128">
        <v>220745.07</v>
      </c>
      <c r="F51" s="129">
        <v>322877</v>
      </c>
      <c r="G51" s="130">
        <v>330660</v>
      </c>
      <c r="H51" s="130">
        <f t="shared" si="0"/>
        <v>212962.07000000007</v>
      </c>
      <c r="I51" s="131">
        <f>H51</f>
        <v>212962.07000000007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1768372.2400000002</v>
      </c>
      <c r="F52" s="135">
        <f>F48+F49+F50+F51</f>
        <v>658173.6</v>
      </c>
      <c r="G52" s="135">
        <f>G48+G49+G50+G51</f>
        <v>630359</v>
      </c>
      <c r="H52" s="135">
        <f>H48+H49+H50+H51</f>
        <v>1796186.84</v>
      </c>
      <c r="I52" s="136">
        <f>I48+I49+I50+I51</f>
        <v>1654346.97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idden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ht="13.5" thickTop="1" x14ac:dyDescent="0.2"/>
  </sheetData>
  <mergeCells count="11">
    <mergeCell ref="A2:D2"/>
    <mergeCell ref="E2:I2"/>
    <mergeCell ref="E4:I4"/>
    <mergeCell ref="E3:I3"/>
    <mergeCell ref="F45:F46"/>
    <mergeCell ref="H12:I12"/>
    <mergeCell ref="E5:I5"/>
    <mergeCell ref="E7:I7"/>
    <mergeCell ref="A31:I33"/>
    <mergeCell ref="H43:I43"/>
    <mergeCell ref="A41:I41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188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271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189</v>
      </c>
      <c r="F6" s="62"/>
      <c r="G6" s="63" t="s">
        <v>39</v>
      </c>
      <c r="H6" s="64">
        <v>1207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3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4850000</v>
      </c>
      <c r="F15" s="303">
        <v>35553121.939999998</v>
      </c>
      <c r="G15" s="26">
        <f>H15+I15</f>
        <v>35553121.940000005</v>
      </c>
      <c r="H15" s="302">
        <v>35240860.950000003</v>
      </c>
      <c r="I15" s="302">
        <v>312260.99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5041000</v>
      </c>
      <c r="F17" s="303">
        <v>36187430.450000003</v>
      </c>
      <c r="G17" s="26">
        <f>H17+I17</f>
        <v>35775268.229999997</v>
      </c>
      <c r="H17" s="302">
        <v>35134424.229999997</v>
      </c>
      <c r="I17" s="302">
        <v>640844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222146.28999999166</v>
      </c>
      <c r="H23" s="91">
        <f>H17-H15-H21</f>
        <v>-106436.72000000626</v>
      </c>
      <c r="I23" s="91">
        <f>I17-I15-I21</f>
        <v>328583.01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222146.29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24000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198146.29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/>
      <c r="H30" s="101"/>
      <c r="I30" s="95"/>
    </row>
    <row r="31" spans="1:9" ht="12.75" customHeight="1" x14ac:dyDescent="0.2">
      <c r="A31" s="450"/>
      <c r="B31" s="452"/>
      <c r="C31" s="452"/>
      <c r="D31" s="452"/>
      <c r="E31" s="452"/>
      <c r="F31" s="452"/>
      <c r="G31" s="452"/>
      <c r="H31" s="452"/>
      <c r="I31" s="452"/>
    </row>
    <row r="32" spans="1:9" x14ac:dyDescent="0.2">
      <c r="A32" s="452"/>
      <c r="B32" s="452"/>
      <c r="C32" s="452"/>
      <c r="D32" s="452"/>
      <c r="E32" s="452"/>
      <c r="F32" s="452"/>
      <c r="G32" s="452"/>
      <c r="H32" s="452"/>
      <c r="I32" s="452"/>
    </row>
    <row r="33" spans="1:10" x14ac:dyDescent="0.2">
      <c r="A33" s="452"/>
      <c r="B33" s="452"/>
      <c r="C33" s="452"/>
      <c r="D33" s="452"/>
      <c r="E33" s="452"/>
      <c r="F33" s="452"/>
      <c r="G33" s="452"/>
      <c r="H33" s="452"/>
      <c r="I33" s="45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80000</v>
      </c>
      <c r="G36" s="110">
        <v>36205</v>
      </c>
      <c r="H36" s="305"/>
      <c r="I36" s="111">
        <f>G36/F36</f>
        <v>0.45256249999999998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873000</v>
      </c>
      <c r="G37" s="110">
        <v>869401</v>
      </c>
      <c r="H37" s="305"/>
      <c r="I37" s="111">
        <f>G37/F37</f>
        <v>0.99587743413516605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654500</v>
      </c>
      <c r="G39" s="110">
        <v>654500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366" t="s">
        <v>225</v>
      </c>
    </row>
    <row r="41" spans="1:10" x14ac:dyDescent="0.2">
      <c r="A41" s="444" t="s">
        <v>316</v>
      </c>
      <c r="B41" s="445"/>
      <c r="C41" s="445"/>
      <c r="D41" s="445"/>
      <c r="E41" s="445"/>
      <c r="F41" s="445"/>
      <c r="G41" s="445"/>
      <c r="H41" s="445"/>
      <c r="I41" s="445"/>
      <c r="J41" s="58"/>
    </row>
    <row r="42" spans="1:10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28000</v>
      </c>
      <c r="F48" s="123">
        <v>0</v>
      </c>
      <c r="G48" s="124">
        <v>25700</v>
      </c>
      <c r="H48" s="124">
        <f>E48+F48-G48</f>
        <v>2300</v>
      </c>
      <c r="I48" s="125">
        <f>H48</f>
        <v>2300</v>
      </c>
    </row>
    <row r="49" spans="1:9" x14ac:dyDescent="0.2">
      <c r="A49" s="126"/>
      <c r="B49" s="127"/>
      <c r="C49" s="127" t="s">
        <v>8</v>
      </c>
      <c r="D49" s="127"/>
      <c r="E49" s="128">
        <v>41245.68</v>
      </c>
      <c r="F49" s="129">
        <v>211542</v>
      </c>
      <c r="G49" s="130">
        <v>221814.5</v>
      </c>
      <c r="H49" s="130">
        <f>E49+F49-G49</f>
        <v>30973.179999999993</v>
      </c>
      <c r="I49" s="131">
        <v>14415.3</v>
      </c>
    </row>
    <row r="50" spans="1:9" x14ac:dyDescent="0.2">
      <c r="A50" s="126"/>
      <c r="B50" s="127"/>
      <c r="C50" s="127" t="s">
        <v>7</v>
      </c>
      <c r="D50" s="127"/>
      <c r="E50" s="128">
        <v>427852.95</v>
      </c>
      <c r="F50" s="129">
        <v>249577.42</v>
      </c>
      <c r="G50" s="130">
        <v>331580.43</v>
      </c>
      <c r="H50" s="130">
        <f t="shared" ref="H50:H51" si="0">E50+F50-G50</f>
        <v>345849.94</v>
      </c>
      <c r="I50" s="131">
        <f>H50</f>
        <v>345849.94</v>
      </c>
    </row>
    <row r="51" spans="1:9" x14ac:dyDescent="0.2">
      <c r="A51" s="126"/>
      <c r="B51" s="127"/>
      <c r="C51" s="127" t="s">
        <v>15</v>
      </c>
      <c r="D51" s="127"/>
      <c r="E51" s="128">
        <v>222809.60000000001</v>
      </c>
      <c r="F51" s="129">
        <v>893671</v>
      </c>
      <c r="G51" s="130">
        <v>932670</v>
      </c>
      <c r="H51" s="130">
        <f t="shared" si="0"/>
        <v>183810.60000000009</v>
      </c>
      <c r="I51" s="131">
        <f>H51</f>
        <v>183810.60000000009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719908.23</v>
      </c>
      <c r="F52" s="135">
        <f>F48+F49+F50+F51</f>
        <v>1354790.42</v>
      </c>
      <c r="G52" s="135">
        <f>G48+G49+G50+G51</f>
        <v>1511764.93</v>
      </c>
      <c r="H52" s="135">
        <f>H48+H49+H50+H51</f>
        <v>562933.72000000009</v>
      </c>
      <c r="I52" s="136">
        <f>I48+I49+I50+I51</f>
        <v>546375.84000000008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H12:I12"/>
    <mergeCell ref="A41:I41"/>
    <mergeCell ref="A31:I33"/>
    <mergeCell ref="E5:I5"/>
    <mergeCell ref="E7:I7"/>
    <mergeCell ref="A2:D2"/>
    <mergeCell ref="E2:I2"/>
    <mergeCell ref="E4:I4"/>
    <mergeCell ref="E3:I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35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190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191</v>
      </c>
      <c r="F6" s="62"/>
      <c r="G6" s="63" t="s">
        <v>39</v>
      </c>
      <c r="H6" s="64">
        <v>1208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4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13164000</v>
      </c>
      <c r="F15" s="303">
        <v>13166700</v>
      </c>
      <c r="G15" s="26">
        <f>H15+I15</f>
        <v>30801178.68</v>
      </c>
      <c r="H15" s="302">
        <v>27236656.34</v>
      </c>
      <c r="I15" s="302">
        <v>3564522.34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13164000</v>
      </c>
      <c r="F17" s="303">
        <v>30238889.600000001</v>
      </c>
      <c r="G17" s="26">
        <f>H17+I17</f>
        <v>30832105.5</v>
      </c>
      <c r="H17" s="302">
        <v>27155230.109999999</v>
      </c>
      <c r="I17" s="302">
        <v>3676875.39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30926.820000000298</v>
      </c>
      <c r="H23" s="91">
        <f>H17-H15-H21</f>
        <v>-81426.230000000447</v>
      </c>
      <c r="I23" s="91">
        <f>I17-I15-I21</f>
        <v>112353.05000000028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30926.82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12100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18826.82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402700</v>
      </c>
      <c r="G36" s="110">
        <v>170419</v>
      </c>
      <c r="H36" s="305"/>
      <c r="I36" s="111">
        <f>G36/F36</f>
        <v>0.42319096101316117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843000</v>
      </c>
      <c r="G37" s="110">
        <v>843000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632000</v>
      </c>
      <c r="G39" s="110">
        <v>632000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114" t="s">
        <v>225</v>
      </c>
    </row>
    <row r="41" spans="1:10" x14ac:dyDescent="0.2">
      <c r="A41" s="423"/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363">
        <v>500</v>
      </c>
      <c r="F48" s="123">
        <v>7100</v>
      </c>
      <c r="G48" s="124">
        <v>7600</v>
      </c>
      <c r="H48" s="124">
        <f>E48+F48-G48</f>
        <v>0</v>
      </c>
      <c r="I48" s="125">
        <f>H48</f>
        <v>0</v>
      </c>
    </row>
    <row r="49" spans="1:9" x14ac:dyDescent="0.2">
      <c r="A49" s="126"/>
      <c r="B49" s="127"/>
      <c r="C49" s="127" t="s">
        <v>8</v>
      </c>
      <c r="D49" s="127"/>
      <c r="E49" s="128">
        <v>17102.3</v>
      </c>
      <c r="F49" s="129">
        <v>122334</v>
      </c>
      <c r="G49" s="130">
        <v>125488.7</v>
      </c>
      <c r="H49" s="130">
        <f>E49+F49-G49</f>
        <v>13947.599999999991</v>
      </c>
      <c r="I49" s="131">
        <v>20642.8</v>
      </c>
    </row>
    <row r="50" spans="1:9" x14ac:dyDescent="0.2">
      <c r="A50" s="126"/>
      <c r="B50" s="127"/>
      <c r="C50" s="127" t="s">
        <v>7</v>
      </c>
      <c r="D50" s="127"/>
      <c r="E50" s="128">
        <v>413773.36</v>
      </c>
      <c r="F50" s="129">
        <f>1822.74+72467.6</f>
        <v>74290.340000000011</v>
      </c>
      <c r="G50" s="130">
        <v>415596.1</v>
      </c>
      <c r="H50" s="130">
        <f t="shared" ref="H50:H51" si="0">E50+F50-G50</f>
        <v>72467.600000000035</v>
      </c>
      <c r="I50" s="131">
        <f>H50</f>
        <v>72467.600000000035</v>
      </c>
    </row>
    <row r="51" spans="1:9" x14ac:dyDescent="0.2">
      <c r="A51" s="126"/>
      <c r="B51" s="127"/>
      <c r="C51" s="127" t="s">
        <v>15</v>
      </c>
      <c r="D51" s="127"/>
      <c r="E51" s="128">
        <v>1034250.3</v>
      </c>
      <c r="F51" s="129">
        <v>1106436</v>
      </c>
      <c r="G51" s="130">
        <v>1209245</v>
      </c>
      <c r="H51" s="130">
        <f t="shared" si="0"/>
        <v>931441.29999999981</v>
      </c>
      <c r="I51" s="131">
        <f>H51</f>
        <v>931441.29999999981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1465625.96</v>
      </c>
      <c r="F52" s="135">
        <f>F48+F49+F50+F51</f>
        <v>1310160.3400000001</v>
      </c>
      <c r="G52" s="135">
        <f>G48+G49+G50+G51</f>
        <v>1757929.8</v>
      </c>
      <c r="H52" s="135">
        <f>H48+H49+H50+H51</f>
        <v>1017856.4999999999</v>
      </c>
      <c r="I52" s="136">
        <f>I48+I49+I50+I51</f>
        <v>1024551.6999999998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H12:I12"/>
    <mergeCell ref="A41:I41"/>
    <mergeCell ref="A31:I33"/>
    <mergeCell ref="E5:I5"/>
    <mergeCell ref="E7:I7"/>
    <mergeCell ref="A2:D2"/>
    <mergeCell ref="E2:I2"/>
    <mergeCell ref="E4:I4"/>
    <mergeCell ref="E3:I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192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193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194</v>
      </c>
      <c r="F6" s="62"/>
      <c r="G6" s="63" t="s">
        <v>39</v>
      </c>
      <c r="H6" s="64">
        <v>1300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7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2420000</v>
      </c>
      <c r="F15" s="303">
        <v>15770229</v>
      </c>
      <c r="G15" s="26">
        <f>H15+I15</f>
        <v>15789812.66</v>
      </c>
      <c r="H15" s="302">
        <v>15716270.66</v>
      </c>
      <c r="I15" s="302">
        <v>73542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2459000</v>
      </c>
      <c r="F17" s="303">
        <v>15965700</v>
      </c>
      <c r="G17" s="26">
        <f>H17+I17</f>
        <v>15965663.779999999</v>
      </c>
      <c r="H17" s="302">
        <v>15881978.779999999</v>
      </c>
      <c r="I17" s="302">
        <v>83685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175851.11999999918</v>
      </c>
      <c r="H23" s="91">
        <f>H17-H15-H21</f>
        <v>165708.11999999918</v>
      </c>
      <c r="I23" s="91">
        <f>I17-I15-I21</f>
        <v>10143</v>
      </c>
    </row>
    <row r="24" spans="1:9" x14ac:dyDescent="0.2">
      <c r="A24" s="68"/>
      <c r="G24" s="365"/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175851.12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150851.12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ht="12.75" customHeight="1" x14ac:dyDescent="0.2">
      <c r="A31" s="453"/>
      <c r="B31" s="454"/>
      <c r="C31" s="454"/>
      <c r="D31" s="454"/>
      <c r="E31" s="454"/>
      <c r="F31" s="454"/>
      <c r="G31" s="454"/>
      <c r="H31" s="454"/>
      <c r="I31" s="454"/>
    </row>
    <row r="32" spans="1:9" x14ac:dyDescent="0.2">
      <c r="A32" s="454"/>
      <c r="B32" s="454"/>
      <c r="C32" s="454"/>
      <c r="D32" s="454"/>
      <c r="E32" s="454"/>
      <c r="F32" s="454"/>
      <c r="G32" s="454"/>
      <c r="H32" s="454"/>
      <c r="I32" s="454"/>
    </row>
    <row r="33" spans="1:10" x14ac:dyDescent="0.2">
      <c r="A33" s="454"/>
      <c r="B33" s="454"/>
      <c r="C33" s="454"/>
      <c r="D33" s="454"/>
      <c r="E33" s="454"/>
      <c r="F33" s="454"/>
      <c r="G33" s="454"/>
      <c r="H33" s="454"/>
      <c r="I33" s="454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s="157" customFormat="1" ht="16.5" x14ac:dyDescent="0.35">
      <c r="A37" s="108" t="s">
        <v>117</v>
      </c>
      <c r="B37" s="109"/>
      <c r="C37" s="2"/>
      <c r="D37" s="112"/>
      <c r="E37" s="112"/>
      <c r="F37" s="110">
        <v>298000</v>
      </c>
      <c r="G37" s="110">
        <v>298227</v>
      </c>
      <c r="H37" s="305"/>
      <c r="I37" s="145">
        <f>G37/F37</f>
        <v>1.000761744966443</v>
      </c>
      <c r="J37" s="156"/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224000</v>
      </c>
      <c r="G39" s="110">
        <v>224000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366" t="s">
        <v>225</v>
      </c>
    </row>
    <row r="41" spans="1:10" x14ac:dyDescent="0.2">
      <c r="A41" s="429" t="s">
        <v>303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20000</v>
      </c>
      <c r="F48" s="123">
        <v>10000</v>
      </c>
      <c r="G48" s="124">
        <v>2000</v>
      </c>
      <c r="H48" s="124">
        <f>E48+F48-G48</f>
        <v>28000</v>
      </c>
      <c r="I48" s="125">
        <f>H48</f>
        <v>28000</v>
      </c>
    </row>
    <row r="49" spans="1:9" x14ac:dyDescent="0.2">
      <c r="A49" s="126"/>
      <c r="B49" s="127"/>
      <c r="C49" s="127" t="s">
        <v>8</v>
      </c>
      <c r="D49" s="127"/>
      <c r="E49" s="128">
        <v>67552.12</v>
      </c>
      <c r="F49" s="129">
        <v>96643</v>
      </c>
      <c r="G49" s="130">
        <v>135024</v>
      </c>
      <c r="H49" s="130">
        <f>E49+F49-G49</f>
        <v>29171.119999999995</v>
      </c>
      <c r="I49" s="131">
        <v>10380.209999999999</v>
      </c>
    </row>
    <row r="50" spans="1:9" x14ac:dyDescent="0.2">
      <c r="A50" s="126"/>
      <c r="B50" s="127"/>
      <c r="C50" s="127" t="s">
        <v>7</v>
      </c>
      <c r="D50" s="127"/>
      <c r="E50" s="128">
        <v>216868.82</v>
      </c>
      <c r="F50" s="129">
        <v>225826.24</v>
      </c>
      <c r="G50" s="130">
        <v>0</v>
      </c>
      <c r="H50" s="130">
        <f t="shared" ref="H50:H51" si="0">E50+F50-G50</f>
        <v>442695.06</v>
      </c>
      <c r="I50" s="131">
        <f>H50</f>
        <v>442695.06</v>
      </c>
    </row>
    <row r="51" spans="1:9" x14ac:dyDescent="0.2">
      <c r="A51" s="126"/>
      <c r="B51" s="127"/>
      <c r="C51" s="127" t="s">
        <v>15</v>
      </c>
      <c r="D51" s="127"/>
      <c r="E51" s="128">
        <v>122411.55</v>
      </c>
      <c r="F51" s="129">
        <v>320883</v>
      </c>
      <c r="G51" s="130">
        <v>224000</v>
      </c>
      <c r="H51" s="130">
        <f t="shared" si="0"/>
        <v>219294.55</v>
      </c>
      <c r="I51" s="131">
        <f>H51</f>
        <v>219294.55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426832.49</v>
      </c>
      <c r="F52" s="135">
        <f>F48+F49+F50+F51</f>
        <v>653352.24</v>
      </c>
      <c r="G52" s="135">
        <f>G48+G49+G50+G51</f>
        <v>361024</v>
      </c>
      <c r="H52" s="135">
        <f>H48+H49+H50+H51</f>
        <v>719160.73</v>
      </c>
      <c r="I52" s="136">
        <f>I48+I49+I50+I51</f>
        <v>700369.82000000007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t="13.5" thickTop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A2:D2"/>
    <mergeCell ref="E2:I2"/>
    <mergeCell ref="E4:I4"/>
    <mergeCell ref="H12:I12"/>
    <mergeCell ref="F45:F46"/>
    <mergeCell ref="E3:I3"/>
    <mergeCell ref="E5:I5"/>
    <mergeCell ref="E7:I7"/>
    <mergeCell ref="A31:I33"/>
    <mergeCell ref="H43:I43"/>
    <mergeCell ref="A41:I41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" style="55" customWidth="1"/>
    <col min="10" max="10" width="18.85546875" style="56" customWidth="1"/>
    <col min="11" max="11" width="15.425781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195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196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197</v>
      </c>
      <c r="F6" s="62"/>
      <c r="G6" s="63" t="s">
        <v>39</v>
      </c>
      <c r="H6" s="64">
        <v>1301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6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4898000</v>
      </c>
      <c r="F15" s="303">
        <v>31438177</v>
      </c>
      <c r="G15" s="26">
        <f>H15+I15</f>
        <v>31529838</v>
      </c>
      <c r="H15" s="302">
        <v>31508858</v>
      </c>
      <c r="I15" s="302">
        <v>20980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4935000</v>
      </c>
      <c r="F17" s="303">
        <v>31532977</v>
      </c>
      <c r="G17" s="26">
        <f>H17+I17</f>
        <v>31529838</v>
      </c>
      <c r="H17" s="302">
        <v>31464880</v>
      </c>
      <c r="I17" s="302">
        <v>64958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0</v>
      </c>
      <c r="H23" s="91">
        <f>H17-H15-H21</f>
        <v>-43978</v>
      </c>
      <c r="I23" s="91">
        <f>I17-I15-I21</f>
        <v>43978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0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0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1267877</v>
      </c>
      <c r="G37" s="110">
        <v>1267877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950908</v>
      </c>
      <c r="G39" s="110">
        <v>950908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3"/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55001</v>
      </c>
      <c r="F48" s="123">
        <v>20000</v>
      </c>
      <c r="G48" s="124">
        <v>62000</v>
      </c>
      <c r="H48" s="124">
        <f>E48+F48-G48</f>
        <v>13001</v>
      </c>
      <c r="I48" s="125">
        <f>H48</f>
        <v>13001</v>
      </c>
    </row>
    <row r="49" spans="1:9" x14ac:dyDescent="0.2">
      <c r="A49" s="126"/>
      <c r="B49" s="127"/>
      <c r="C49" s="127" t="s">
        <v>8</v>
      </c>
      <c r="D49" s="127"/>
      <c r="E49" s="128">
        <v>328333.88</v>
      </c>
      <c r="F49" s="129">
        <v>194117</v>
      </c>
      <c r="G49" s="130">
        <v>243368</v>
      </c>
      <c r="H49" s="130">
        <f>E49+F49-G49</f>
        <v>279082.88</v>
      </c>
      <c r="I49" s="131">
        <v>208129.5</v>
      </c>
    </row>
    <row r="50" spans="1:9" x14ac:dyDescent="0.2">
      <c r="A50" s="126"/>
      <c r="B50" s="127"/>
      <c r="C50" s="127" t="s">
        <v>7</v>
      </c>
      <c r="D50" s="127"/>
      <c r="E50" s="128">
        <v>235127.66</v>
      </c>
      <c r="F50" s="129">
        <v>274989.87</v>
      </c>
      <c r="G50" s="130">
        <v>32433.51</v>
      </c>
      <c r="H50" s="130">
        <f t="shared" ref="H50:H51" si="0">E50+F50-G50</f>
        <v>477684.02</v>
      </c>
      <c r="I50" s="131">
        <f>H50</f>
        <v>477684.02</v>
      </c>
    </row>
    <row r="51" spans="1:9" x14ac:dyDescent="0.2">
      <c r="A51" s="126"/>
      <c r="B51" s="127"/>
      <c r="C51" s="127" t="s">
        <v>15</v>
      </c>
      <c r="D51" s="127"/>
      <c r="E51" s="128">
        <v>693499.58</v>
      </c>
      <c r="F51" s="129">
        <v>1278951</v>
      </c>
      <c r="G51" s="130">
        <v>1057808</v>
      </c>
      <c r="H51" s="130">
        <f t="shared" si="0"/>
        <v>914642.58000000007</v>
      </c>
      <c r="I51" s="131">
        <f>H51</f>
        <v>914642.58000000007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1311962.1200000001</v>
      </c>
      <c r="F52" s="135">
        <f>F48+F49+F50+F51</f>
        <v>1768057.87</v>
      </c>
      <c r="G52" s="135">
        <f>G48+G49+G50+G51</f>
        <v>1395609.51</v>
      </c>
      <c r="H52" s="135">
        <f>H48+H49+H50+H51</f>
        <v>1684410.48</v>
      </c>
      <c r="I52" s="136">
        <f>I48+I49+I50+I51</f>
        <v>1613457.1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7:I7"/>
    <mergeCell ref="A31:I33"/>
    <mergeCell ref="H12:I12"/>
    <mergeCell ref="A41:I41"/>
    <mergeCell ref="H43:I43"/>
    <mergeCell ref="E5:I5"/>
    <mergeCell ref="A2:D2"/>
    <mergeCell ref="E2:I2"/>
    <mergeCell ref="E4:I4"/>
    <mergeCell ref="E3:I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198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199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200</v>
      </c>
      <c r="F6" s="62"/>
      <c r="G6" s="63" t="s">
        <v>39</v>
      </c>
      <c r="H6" s="64">
        <v>1302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4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1681000</v>
      </c>
      <c r="F15" s="303">
        <v>6040323</v>
      </c>
      <c r="G15" s="26">
        <f>H15+I15</f>
        <v>5807813.9100000001</v>
      </c>
      <c r="H15" s="302">
        <v>5738513.9100000001</v>
      </c>
      <c r="I15" s="302">
        <v>69300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1681000</v>
      </c>
      <c r="F17" s="303">
        <v>6044004</v>
      </c>
      <c r="G17" s="26">
        <f>H17+I17</f>
        <v>6070848.5300000003</v>
      </c>
      <c r="H17" s="302">
        <v>6001548.5300000003</v>
      </c>
      <c r="I17" s="302">
        <v>69300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263034.62000000011</v>
      </c>
      <c r="H23" s="91">
        <f>H17-H15-H21</f>
        <v>263034.62000000011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263034.62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243034.62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107704</v>
      </c>
      <c r="G37" s="110">
        <v>104023</v>
      </c>
      <c r="H37" s="305"/>
      <c r="I37" s="111">
        <f>G37/F37</f>
        <v>0.96582299636039515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81028</v>
      </c>
      <c r="G39" s="110">
        <v>81028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0</v>
      </c>
      <c r="G40" s="110">
        <v>0</v>
      </c>
      <c r="H40" s="305"/>
      <c r="I40" s="366" t="s">
        <v>225</v>
      </c>
    </row>
    <row r="41" spans="1:10" x14ac:dyDescent="0.2">
      <c r="A41" s="444" t="s">
        <v>317</v>
      </c>
      <c r="B41" s="445"/>
      <c r="C41" s="445"/>
      <c r="D41" s="445"/>
      <c r="E41" s="445"/>
      <c r="F41" s="445"/>
      <c r="G41" s="445"/>
      <c r="H41" s="445"/>
      <c r="I41" s="445"/>
      <c r="J41" s="58"/>
    </row>
    <row r="42" spans="1:10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18000</v>
      </c>
      <c r="F48" s="123">
        <v>20000</v>
      </c>
      <c r="G48" s="124">
        <v>18955</v>
      </c>
      <c r="H48" s="124">
        <f>E48+F48-G48</f>
        <v>19045</v>
      </c>
      <c r="I48" s="125">
        <v>36000</v>
      </c>
    </row>
    <row r="49" spans="1:9" x14ac:dyDescent="0.2">
      <c r="A49" s="126"/>
      <c r="B49" s="127"/>
      <c r="C49" s="127" t="s">
        <v>8</v>
      </c>
      <c r="D49" s="127"/>
      <c r="E49" s="128">
        <v>9712.2999999999993</v>
      </c>
      <c r="F49" s="129">
        <v>28500</v>
      </c>
      <c r="G49" s="130">
        <v>35446</v>
      </c>
      <c r="H49" s="130">
        <f>E49+F49-G49</f>
        <v>2766.3000000000029</v>
      </c>
      <c r="I49" s="131">
        <v>3663.34</v>
      </c>
    </row>
    <row r="50" spans="1:9" x14ac:dyDescent="0.2">
      <c r="A50" s="126"/>
      <c r="B50" s="127"/>
      <c r="C50" s="127" t="s">
        <v>7</v>
      </c>
      <c r="D50" s="127"/>
      <c r="E50" s="128">
        <v>60883.33</v>
      </c>
      <c r="F50" s="129">
        <v>182265.86</v>
      </c>
      <c r="G50" s="130">
        <v>49997</v>
      </c>
      <c r="H50" s="130">
        <f t="shared" ref="H50:H51" si="0">E50+F50-G50</f>
        <v>193152.19</v>
      </c>
      <c r="I50" s="131">
        <f>H50</f>
        <v>193152.19</v>
      </c>
    </row>
    <row r="51" spans="1:9" x14ac:dyDescent="0.2">
      <c r="A51" s="126"/>
      <c r="B51" s="127"/>
      <c r="C51" s="127" t="s">
        <v>15</v>
      </c>
      <c r="D51" s="127"/>
      <c r="E51" s="128">
        <v>102819.72</v>
      </c>
      <c r="F51" s="129">
        <v>157731</v>
      </c>
      <c r="G51" s="130">
        <v>131025</v>
      </c>
      <c r="H51" s="130">
        <f t="shared" si="0"/>
        <v>129525.72</v>
      </c>
      <c r="I51" s="131">
        <f>H51</f>
        <v>129525.72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191415.35</v>
      </c>
      <c r="F52" s="135">
        <f>F48+F49+F50+F51</f>
        <v>388496.86</v>
      </c>
      <c r="G52" s="135">
        <f>G48+G49+G50+G51</f>
        <v>235423</v>
      </c>
      <c r="H52" s="135">
        <f>H48+H49+H50+H51</f>
        <v>344489.20999999996</v>
      </c>
      <c r="I52" s="136">
        <f>I48+I49+I50+I51</f>
        <v>362341.25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H12:I12"/>
    <mergeCell ref="A41:I41"/>
    <mergeCell ref="A31:I33"/>
    <mergeCell ref="E5:I5"/>
    <mergeCell ref="E7:I7"/>
    <mergeCell ref="A2:D2"/>
    <mergeCell ref="E2:I2"/>
    <mergeCell ref="E4:I4"/>
    <mergeCell ref="E3:I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5.425781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201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202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203</v>
      </c>
      <c r="F6" s="62"/>
      <c r="G6" s="63" t="s">
        <v>39</v>
      </c>
      <c r="H6" s="64">
        <v>1303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4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1359000</v>
      </c>
      <c r="F15" s="303">
        <v>8648704</v>
      </c>
      <c r="G15" s="26">
        <f>H15+I15</f>
        <v>8615948</v>
      </c>
      <c r="H15" s="302">
        <v>8615948</v>
      </c>
      <c r="I15" s="302">
        <v>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1359000</v>
      </c>
      <c r="F17" s="303">
        <v>8648704</v>
      </c>
      <c r="G17" s="26">
        <f>H17+I17</f>
        <v>8644908.9199999999</v>
      </c>
      <c r="H17" s="302">
        <v>8644908.9199999999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28960.919999999925</v>
      </c>
      <c r="H23" s="91">
        <f>H17-H15-H21</f>
        <v>28960.919999999925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28960.92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14000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14960.92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142404</v>
      </c>
      <c r="G37" s="110">
        <v>142404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109404</v>
      </c>
      <c r="G39" s="110">
        <v>109404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3"/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29142</v>
      </c>
      <c r="F48" s="123">
        <v>25000</v>
      </c>
      <c r="G48" s="124">
        <v>54142</v>
      </c>
      <c r="H48" s="124">
        <f>E48+F48-G48</f>
        <v>0</v>
      </c>
      <c r="I48" s="125">
        <f>H48</f>
        <v>0</v>
      </c>
    </row>
    <row r="49" spans="1:9" x14ac:dyDescent="0.2">
      <c r="A49" s="126"/>
      <c r="B49" s="127"/>
      <c r="C49" s="127" t="s">
        <v>8</v>
      </c>
      <c r="D49" s="127"/>
      <c r="E49" s="128">
        <v>128798.5</v>
      </c>
      <c r="F49" s="129">
        <v>53564</v>
      </c>
      <c r="G49" s="130">
        <v>100556</v>
      </c>
      <c r="H49" s="130">
        <f>E49+F49-G49</f>
        <v>81806.5</v>
      </c>
      <c r="I49" s="131">
        <v>39584.85</v>
      </c>
    </row>
    <row r="50" spans="1:9" x14ac:dyDescent="0.2">
      <c r="A50" s="126"/>
      <c r="B50" s="127"/>
      <c r="C50" s="127" t="s">
        <v>7</v>
      </c>
      <c r="D50" s="127"/>
      <c r="E50" s="128">
        <v>211172.92</v>
      </c>
      <c r="F50" s="129">
        <v>351989.44</v>
      </c>
      <c r="G50" s="130">
        <v>89005</v>
      </c>
      <c r="H50" s="130">
        <f t="shared" ref="H50:H51" si="0">E50+F50-G50</f>
        <v>474157.36</v>
      </c>
      <c r="I50" s="131">
        <f>H50</f>
        <v>474157.36</v>
      </c>
    </row>
    <row r="51" spans="1:9" x14ac:dyDescent="0.2">
      <c r="A51" s="126"/>
      <c r="B51" s="127"/>
      <c r="C51" s="127" t="s">
        <v>15</v>
      </c>
      <c r="D51" s="127"/>
      <c r="E51" s="128">
        <v>72545.100000000006</v>
      </c>
      <c r="F51" s="129">
        <v>231409</v>
      </c>
      <c r="G51" s="130">
        <v>198409</v>
      </c>
      <c r="H51" s="130">
        <f t="shared" si="0"/>
        <v>105545.09999999998</v>
      </c>
      <c r="I51" s="131">
        <f>H51</f>
        <v>105545.09999999998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441658.52</v>
      </c>
      <c r="F52" s="135">
        <f>F48+F49+F50+F51</f>
        <v>661962.43999999994</v>
      </c>
      <c r="G52" s="135">
        <f>G48+G49+G50+G51</f>
        <v>442112</v>
      </c>
      <c r="H52" s="135">
        <f>H48+H49+H50+H51</f>
        <v>661508.96</v>
      </c>
      <c r="I52" s="136">
        <f>I48+I49+I50+I51</f>
        <v>619287.30999999994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H43:I43"/>
    <mergeCell ref="F45:F46"/>
    <mergeCell ref="E7:I7"/>
    <mergeCell ref="H12:I12"/>
    <mergeCell ref="A41:I41"/>
    <mergeCell ref="A31:I33"/>
    <mergeCell ref="E5:I5"/>
    <mergeCell ref="A2:D2"/>
    <mergeCell ref="E2:I2"/>
    <mergeCell ref="E4:I4"/>
    <mergeCell ref="E3:I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204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205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206</v>
      </c>
      <c r="F6" s="62"/>
      <c r="G6" s="63" t="s">
        <v>39</v>
      </c>
      <c r="H6" s="64">
        <v>1304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5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1723000</v>
      </c>
      <c r="F15" s="303">
        <v>12574500</v>
      </c>
      <c r="G15" s="26">
        <f>H15+I15</f>
        <v>12528431.359999999</v>
      </c>
      <c r="H15" s="302">
        <v>12528431.359999999</v>
      </c>
      <c r="I15" s="302">
        <v>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1723000</v>
      </c>
      <c r="F17" s="303">
        <v>12574500</v>
      </c>
      <c r="G17" s="26">
        <f>H17+I17</f>
        <v>12583468.08</v>
      </c>
      <c r="H17" s="302">
        <v>12583468.08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55036.720000000671</v>
      </c>
      <c r="H23" s="91">
        <f>H17-H15-H21</f>
        <v>55036.720000000671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55036.72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45036.72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72000</v>
      </c>
      <c r="G37" s="110">
        <v>72198</v>
      </c>
      <c r="H37" s="305"/>
      <c r="I37" s="111">
        <f>G37/F37</f>
        <v>1.00275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54000</v>
      </c>
      <c r="G39" s="110">
        <v>54000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9" t="s">
        <v>304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83630</v>
      </c>
      <c r="F48" s="123">
        <v>0</v>
      </c>
      <c r="G48" s="124">
        <v>6000</v>
      </c>
      <c r="H48" s="124">
        <f>E48+F48-G48</f>
        <v>77630</v>
      </c>
      <c r="I48" s="125">
        <f>H48</f>
        <v>77630</v>
      </c>
    </row>
    <row r="49" spans="1:9" x14ac:dyDescent="0.2">
      <c r="A49" s="126"/>
      <c r="B49" s="127"/>
      <c r="C49" s="127" t="s">
        <v>8</v>
      </c>
      <c r="D49" s="127"/>
      <c r="E49" s="128">
        <v>176083.67</v>
      </c>
      <c r="F49" s="129">
        <v>78970</v>
      </c>
      <c r="G49" s="130">
        <v>119177</v>
      </c>
      <c r="H49" s="130">
        <f>E49+F49-G49</f>
        <v>135876.67000000001</v>
      </c>
      <c r="I49" s="131">
        <v>153592.88</v>
      </c>
    </row>
    <row r="50" spans="1:9" x14ac:dyDescent="0.2">
      <c r="A50" s="126"/>
      <c r="B50" s="127"/>
      <c r="C50" s="127" t="s">
        <v>7</v>
      </c>
      <c r="D50" s="127"/>
      <c r="E50" s="128">
        <v>61046.63</v>
      </c>
      <c r="F50" s="129">
        <v>35068.31</v>
      </c>
      <c r="G50" s="130">
        <v>0</v>
      </c>
      <c r="H50" s="130">
        <f t="shared" ref="H50:H51" si="0">E50+F50-G50</f>
        <v>96114.94</v>
      </c>
      <c r="I50" s="131">
        <f>H50</f>
        <v>96114.94</v>
      </c>
    </row>
    <row r="51" spans="1:9" x14ac:dyDescent="0.2">
      <c r="A51" s="126"/>
      <c r="B51" s="127"/>
      <c r="C51" s="127" t="s">
        <v>15</v>
      </c>
      <c r="D51" s="127"/>
      <c r="E51" s="128">
        <v>121595.6</v>
      </c>
      <c r="F51" s="129">
        <v>72198</v>
      </c>
      <c r="G51" s="130">
        <v>54000</v>
      </c>
      <c r="H51" s="130">
        <f t="shared" si="0"/>
        <v>139793.60000000001</v>
      </c>
      <c r="I51" s="131">
        <f>H51</f>
        <v>139793.60000000001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442355.9</v>
      </c>
      <c r="F52" s="135">
        <f>F48+F49+F50+F51</f>
        <v>186236.31</v>
      </c>
      <c r="G52" s="135">
        <f>G48+G49+G50+G51</f>
        <v>179177</v>
      </c>
      <c r="H52" s="135">
        <f>H48+H49+H50+H51</f>
        <v>449415.20999999996</v>
      </c>
      <c r="I52" s="136">
        <f>I48+I49+I50+I51</f>
        <v>467131.42000000004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A41:I41"/>
    <mergeCell ref="A31:I33"/>
    <mergeCell ref="H43:I43"/>
    <mergeCell ref="F45:F46"/>
    <mergeCell ref="A2:D2"/>
    <mergeCell ref="E2:I2"/>
    <mergeCell ref="E4:I4"/>
    <mergeCell ref="H12:I12"/>
    <mergeCell ref="E3:I3"/>
    <mergeCell ref="E5:I5"/>
    <mergeCell ref="E7:I7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4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207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208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209</v>
      </c>
      <c r="F6" s="62"/>
      <c r="G6" s="63" t="s">
        <v>39</v>
      </c>
      <c r="H6" s="64">
        <v>1316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9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449000</v>
      </c>
      <c r="F15" s="303">
        <v>-35000</v>
      </c>
      <c r="G15" s="26">
        <f>H15+I15</f>
        <v>2709255.54</v>
      </c>
      <c r="H15" s="302">
        <v>2709255.54</v>
      </c>
      <c r="I15" s="302">
        <v>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449000</v>
      </c>
      <c r="F17" s="303">
        <v>2360686</v>
      </c>
      <c r="G17" s="26">
        <f>H17+I17</f>
        <v>2764817.81</v>
      </c>
      <c r="H17" s="302">
        <v>2764817.81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55562.270000000019</v>
      </c>
      <c r="H23" s="91">
        <f>H17-H15-H21</f>
        <v>55562.270000000019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55562.27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0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55562.27</v>
      </c>
      <c r="H30" s="101"/>
      <c r="I30" s="95"/>
    </row>
    <row r="31" spans="1:9" ht="12.75" customHeight="1" x14ac:dyDescent="0.2">
      <c r="A31" s="455" t="s">
        <v>323</v>
      </c>
      <c r="B31" s="456"/>
      <c r="C31" s="456"/>
      <c r="D31" s="456"/>
      <c r="E31" s="456"/>
      <c r="F31" s="456"/>
      <c r="G31" s="456"/>
      <c r="H31" s="456"/>
      <c r="I31" s="456"/>
    </row>
    <row r="32" spans="1:9" ht="12.75" customHeight="1" x14ac:dyDescent="0.2">
      <c r="A32" s="456"/>
      <c r="B32" s="456"/>
      <c r="C32" s="456"/>
      <c r="D32" s="456"/>
      <c r="E32" s="456"/>
      <c r="F32" s="456"/>
      <c r="G32" s="456"/>
      <c r="H32" s="456"/>
      <c r="I32" s="456"/>
    </row>
    <row r="33" spans="1:10" ht="9" customHeight="1" x14ac:dyDescent="0.2">
      <c r="A33" s="456"/>
      <c r="B33" s="456"/>
      <c r="C33" s="456"/>
      <c r="D33" s="456"/>
      <c r="E33" s="456"/>
      <c r="F33" s="456"/>
      <c r="G33" s="456"/>
      <c r="H33" s="456"/>
      <c r="I33" s="456"/>
    </row>
    <row r="34" spans="1:10" hidden="1" x14ac:dyDescent="0.2">
      <c r="A34" s="456"/>
      <c r="B34" s="456"/>
      <c r="C34" s="456"/>
      <c r="D34" s="456"/>
      <c r="E34" s="456"/>
      <c r="F34" s="456"/>
      <c r="G34" s="456"/>
      <c r="H34" s="456"/>
      <c r="I34" s="456"/>
    </row>
    <row r="35" spans="1:10" ht="19.5" x14ac:dyDescent="0.4">
      <c r="A35" s="77" t="s">
        <v>30</v>
      </c>
      <c r="B35" s="77" t="s">
        <v>31</v>
      </c>
      <c r="C35" s="77"/>
      <c r="D35" s="103"/>
      <c r="E35" s="81"/>
      <c r="F35" s="3"/>
      <c r="G35" s="104"/>
      <c r="H35" s="95"/>
      <c r="I35" s="95"/>
    </row>
    <row r="36" spans="1:10" ht="18.75" x14ac:dyDescent="0.4">
      <c r="A36" s="77"/>
      <c r="B36" s="77"/>
      <c r="C36" s="77"/>
      <c r="D36" s="103"/>
      <c r="F36" s="105" t="s">
        <v>115</v>
      </c>
      <c r="G36" s="106" t="s">
        <v>0</v>
      </c>
      <c r="H36" s="72"/>
      <c r="I36" s="107" t="s">
        <v>116</v>
      </c>
    </row>
    <row r="37" spans="1:10" ht="16.5" x14ac:dyDescent="0.35">
      <c r="A37" s="108" t="s">
        <v>32</v>
      </c>
      <c r="B37" s="109"/>
      <c r="C37" s="2"/>
      <c r="D37" s="109"/>
      <c r="E37" s="81"/>
      <c r="F37" s="110">
        <v>0</v>
      </c>
      <c r="G37" s="110">
        <v>0</v>
      </c>
      <c r="H37" s="305"/>
      <c r="I37" s="111" t="s">
        <v>225</v>
      </c>
    </row>
    <row r="38" spans="1:10" ht="16.5" x14ac:dyDescent="0.35">
      <c r="A38" s="108" t="s">
        <v>117</v>
      </c>
      <c r="B38" s="109"/>
      <c r="C38" s="2"/>
      <c r="D38" s="112"/>
      <c r="E38" s="112"/>
      <c r="F38" s="110">
        <v>0</v>
      </c>
      <c r="G38" s="110">
        <v>0</v>
      </c>
      <c r="H38" s="305"/>
      <c r="I38" s="111" t="s">
        <v>225</v>
      </c>
    </row>
    <row r="39" spans="1:10" ht="16.5" x14ac:dyDescent="0.35">
      <c r="A39" s="108" t="s">
        <v>118</v>
      </c>
      <c r="B39" s="109"/>
      <c r="C39" s="2"/>
      <c r="D39" s="112"/>
      <c r="E39" s="112"/>
      <c r="F39" s="110">
        <v>0</v>
      </c>
      <c r="G39" s="110">
        <v>0</v>
      </c>
      <c r="H39" s="305"/>
      <c r="I39" s="114" t="s">
        <v>225</v>
      </c>
    </row>
    <row r="40" spans="1:10" ht="16.5" x14ac:dyDescent="0.35">
      <c r="A40" s="108" t="s">
        <v>220</v>
      </c>
      <c r="B40" s="109"/>
      <c r="C40" s="2"/>
      <c r="D40" s="81"/>
      <c r="E40" s="81"/>
      <c r="F40" s="110">
        <v>0</v>
      </c>
      <c r="G40" s="110">
        <v>0</v>
      </c>
      <c r="H40" s="305"/>
      <c r="I40" s="111" t="s">
        <v>225</v>
      </c>
    </row>
    <row r="41" spans="1:10" ht="18" x14ac:dyDescent="0.35">
      <c r="A41" s="108" t="s">
        <v>221</v>
      </c>
      <c r="B41" s="115"/>
      <c r="C41" s="115"/>
      <c r="D41" s="81"/>
      <c r="E41" s="81"/>
      <c r="F41" s="116">
        <v>0</v>
      </c>
      <c r="G41" s="110">
        <v>0</v>
      </c>
      <c r="H41" s="305"/>
      <c r="I41" s="114" t="s">
        <v>225</v>
      </c>
    </row>
    <row r="42" spans="1:10" x14ac:dyDescent="0.2">
      <c r="A42" s="457" t="s">
        <v>293</v>
      </c>
      <c r="B42" s="457"/>
      <c r="C42" s="457"/>
      <c r="D42" s="457"/>
      <c r="E42" s="457"/>
      <c r="F42" s="457"/>
      <c r="G42" s="457"/>
      <c r="H42" s="457"/>
      <c r="I42" s="457"/>
      <c r="J42" s="58"/>
    </row>
    <row r="43" spans="1:10" s="311" customFormat="1" x14ac:dyDescent="0.2">
      <c r="A43" s="310"/>
      <c r="B43" s="310"/>
      <c r="C43" s="310"/>
      <c r="D43" s="310"/>
      <c r="E43" s="310"/>
      <c r="F43" s="310"/>
      <c r="G43" s="310"/>
      <c r="H43" s="310"/>
      <c r="I43" s="310"/>
      <c r="J43" s="58"/>
    </row>
    <row r="44" spans="1:10" ht="19.5" thickBot="1" x14ac:dyDescent="0.45">
      <c r="A44" s="77" t="s">
        <v>11</v>
      </c>
      <c r="B44" s="77" t="s">
        <v>12</v>
      </c>
      <c r="C44" s="79"/>
      <c r="D44" s="81"/>
      <c r="E44" s="81"/>
      <c r="F44" s="118"/>
      <c r="G44" s="119"/>
      <c r="H44" s="419" t="s">
        <v>119</v>
      </c>
      <c r="I44" s="420"/>
    </row>
    <row r="45" spans="1:10" ht="18.75" thickTop="1" x14ac:dyDescent="0.35">
      <c r="A45" s="281"/>
      <c r="B45" s="282"/>
      <c r="C45" s="283"/>
      <c r="D45" s="282"/>
      <c r="E45" s="284" t="s">
        <v>288</v>
      </c>
      <c r="F45" s="285" t="s">
        <v>9</v>
      </c>
      <c r="G45" s="286" t="s">
        <v>10</v>
      </c>
      <c r="H45" s="287" t="s">
        <v>13</v>
      </c>
      <c r="I45" s="288" t="s">
        <v>120</v>
      </c>
    </row>
    <row r="46" spans="1:10" x14ac:dyDescent="0.2">
      <c r="A46" s="289"/>
      <c r="B46" s="290"/>
      <c r="C46" s="290"/>
      <c r="D46" s="290"/>
      <c r="E46" s="289"/>
      <c r="F46" s="415"/>
      <c r="G46" s="291"/>
      <c r="H46" s="292">
        <v>41274</v>
      </c>
      <c r="I46" s="293">
        <v>41274</v>
      </c>
    </row>
    <row r="47" spans="1:10" x14ac:dyDescent="0.2">
      <c r="A47" s="289"/>
      <c r="B47" s="290"/>
      <c r="C47" s="290"/>
      <c r="D47" s="290"/>
      <c r="E47" s="289"/>
      <c r="F47" s="415"/>
      <c r="G47" s="294"/>
      <c r="H47" s="294"/>
      <c r="I47" s="295"/>
    </row>
    <row r="48" spans="1:10" ht="13.5" thickBot="1" x14ac:dyDescent="0.25">
      <c r="A48" s="296"/>
      <c r="B48" s="297"/>
      <c r="C48" s="297"/>
      <c r="D48" s="297"/>
      <c r="E48" s="296"/>
      <c r="F48" s="298"/>
      <c r="G48" s="299"/>
      <c r="H48" s="299"/>
      <c r="I48" s="300"/>
    </row>
    <row r="49" spans="1:9" ht="13.5" thickTop="1" x14ac:dyDescent="0.2">
      <c r="A49" s="120"/>
      <c r="B49" s="121"/>
      <c r="C49" s="121" t="s">
        <v>6</v>
      </c>
      <c r="D49" s="121"/>
      <c r="E49" s="122">
        <v>41567</v>
      </c>
      <c r="F49" s="123">
        <v>0</v>
      </c>
      <c r="G49" s="124">
        <v>0</v>
      </c>
      <c r="H49" s="124">
        <f>E49+F49-G49</f>
        <v>41567</v>
      </c>
      <c r="I49" s="125">
        <v>0</v>
      </c>
    </row>
    <row r="50" spans="1:9" x14ac:dyDescent="0.2">
      <c r="A50" s="126"/>
      <c r="B50" s="127"/>
      <c r="C50" s="127" t="s">
        <v>8</v>
      </c>
      <c r="D50" s="127"/>
      <c r="E50" s="128">
        <v>84661.2</v>
      </c>
      <c r="F50" s="129">
        <v>15029.97</v>
      </c>
      <c r="G50" s="130">
        <v>85792.04</v>
      </c>
      <c r="H50" s="130">
        <f>E50+F50-G50</f>
        <v>13899.130000000005</v>
      </c>
      <c r="I50" s="131">
        <v>0</v>
      </c>
    </row>
    <row r="51" spans="1:9" x14ac:dyDescent="0.2">
      <c r="A51" s="126"/>
      <c r="B51" s="127"/>
      <c r="C51" s="127" t="s">
        <v>7</v>
      </c>
      <c r="D51" s="127"/>
      <c r="E51" s="128">
        <v>8000</v>
      </c>
      <c r="F51" s="129">
        <v>52217</v>
      </c>
      <c r="G51" s="130">
        <v>0</v>
      </c>
      <c r="H51" s="130">
        <f t="shared" ref="H51:H52" si="0">E51+F51-G51</f>
        <v>60217</v>
      </c>
      <c r="I51" s="131">
        <v>0</v>
      </c>
    </row>
    <row r="52" spans="1:9" x14ac:dyDescent="0.2">
      <c r="A52" s="126"/>
      <c r="B52" s="127"/>
      <c r="C52" s="127" t="s">
        <v>15</v>
      </c>
      <c r="D52" s="127"/>
      <c r="E52" s="128">
        <v>66786.52</v>
      </c>
      <c r="F52" s="129">
        <v>0</v>
      </c>
      <c r="G52" s="130">
        <v>66786.52</v>
      </c>
      <c r="H52" s="130">
        <f t="shared" si="0"/>
        <v>0</v>
      </c>
      <c r="I52" s="131">
        <f>H52</f>
        <v>0</v>
      </c>
    </row>
    <row r="53" spans="1:9" ht="18.75" thickBot="1" x14ac:dyDescent="0.4">
      <c r="A53" s="132" t="s">
        <v>2</v>
      </c>
      <c r="B53" s="133"/>
      <c r="C53" s="133"/>
      <c r="D53" s="133"/>
      <c r="E53" s="134">
        <f>E49+E50+E51+E52</f>
        <v>201014.72000000003</v>
      </c>
      <c r="F53" s="135">
        <f>F49+F50+F51+F52</f>
        <v>67246.97</v>
      </c>
      <c r="G53" s="135">
        <f>G49+G50+G51+G52</f>
        <v>152578.56</v>
      </c>
      <c r="H53" s="135">
        <f>H49+H50+H51+H52</f>
        <v>115683.13</v>
      </c>
      <c r="I53" s="136">
        <f>I49+I50+I51+I52</f>
        <v>0</v>
      </c>
    </row>
    <row r="54" spans="1:9" ht="18.75" thickTop="1" x14ac:dyDescent="0.35">
      <c r="A54" s="137"/>
      <c r="B54" s="115"/>
      <c r="C54" s="115"/>
      <c r="D54" s="81"/>
      <c r="E54" s="81"/>
      <c r="F54" s="118"/>
      <c r="G54" s="119"/>
      <c r="H54" s="138"/>
      <c r="I54" s="138"/>
    </row>
    <row r="55" spans="1:9" ht="18" x14ac:dyDescent="0.35">
      <c r="A55" s="137"/>
      <c r="B55" s="115"/>
      <c r="C55" s="115"/>
      <c r="D55" s="81"/>
      <c r="E55" s="81"/>
      <c r="F55" s="118"/>
      <c r="G55" s="139"/>
      <c r="H55" s="140"/>
      <c r="I55" s="140"/>
    </row>
    <row r="56" spans="1:9" ht="18" x14ac:dyDescent="0.35">
      <c r="A56" s="141"/>
      <c r="B56" s="142"/>
      <c r="C56" s="142"/>
      <c r="D56" s="143"/>
      <c r="E56" s="143"/>
      <c r="F56" s="140"/>
      <c r="G56" s="140"/>
      <c r="H56" s="140"/>
      <c r="I56" s="140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x14ac:dyDescent="0.2">
      <c r="A58" s="144"/>
      <c r="B58" s="144"/>
      <c r="C58" s="144"/>
      <c r="D58" s="144"/>
      <c r="E58" s="144"/>
      <c r="F58" s="144"/>
      <c r="G58" s="144"/>
      <c r="H58" s="144"/>
      <c r="I58" s="144"/>
    </row>
  </sheetData>
  <mergeCells count="11">
    <mergeCell ref="F46:F47"/>
    <mergeCell ref="H12:I12"/>
    <mergeCell ref="A2:D2"/>
    <mergeCell ref="E2:I2"/>
    <mergeCell ref="E4:I4"/>
    <mergeCell ref="E3:I3"/>
    <mergeCell ref="E5:I5"/>
    <mergeCell ref="E7:I7"/>
    <mergeCell ref="A31:I34"/>
    <mergeCell ref="H44:I44"/>
    <mergeCell ref="A42:I42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107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266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210</v>
      </c>
      <c r="F6" s="62"/>
      <c r="G6" s="63" t="s">
        <v>39</v>
      </c>
      <c r="H6" s="64">
        <v>1350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43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7342000</v>
      </c>
      <c r="F15" s="303">
        <v>24126045.149999999</v>
      </c>
      <c r="G15" s="26">
        <f>H15+I15</f>
        <v>24572759.629999999</v>
      </c>
      <c r="H15" s="302">
        <v>23990375.34</v>
      </c>
      <c r="I15" s="302">
        <v>582384.29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7342000</v>
      </c>
      <c r="F17" s="303">
        <v>23443382.710000001</v>
      </c>
      <c r="G17" s="26">
        <f>H17+I17</f>
        <v>24679433.690000001</v>
      </c>
      <c r="H17" s="302">
        <v>23817002.690000001</v>
      </c>
      <c r="I17" s="302">
        <v>862431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106674.06000000238</v>
      </c>
      <c r="H23" s="91">
        <f>H17-H15-H21</f>
        <v>-173372.64999999851</v>
      </c>
      <c r="I23" s="91">
        <f>I17-I15-I21</f>
        <v>280046.70999999996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106674.06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105674.06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600000</v>
      </c>
      <c r="G36" s="110">
        <v>531832</v>
      </c>
      <c r="H36" s="305"/>
      <c r="I36" s="111">
        <f>G36/F36</f>
        <v>0.88638666666666666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433327</v>
      </c>
      <c r="G37" s="110">
        <v>433327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126740</v>
      </c>
      <c r="G38" s="110">
        <v>126740</v>
      </c>
      <c r="H38" s="305"/>
      <c r="I38" s="114">
        <f>G38/F38</f>
        <v>1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352327</v>
      </c>
      <c r="G39" s="110">
        <v>352327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3"/>
      <c r="B41" s="423"/>
      <c r="C41" s="423"/>
      <c r="D41" s="423"/>
      <c r="E41" s="423"/>
      <c r="F41" s="423"/>
      <c r="G41" s="423"/>
      <c r="H41" s="423"/>
      <c r="I41" s="423"/>
    </row>
    <row r="42" spans="1:10" ht="18" x14ac:dyDescent="0.35">
      <c r="A42" s="108"/>
      <c r="B42" s="151"/>
      <c r="C42" s="151"/>
      <c r="D42" s="152"/>
      <c r="E42" s="152"/>
      <c r="F42" s="153"/>
      <c r="G42" s="154"/>
      <c r="H42" s="94"/>
      <c r="I42" s="155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88000</v>
      </c>
      <c r="F48" s="123">
        <v>1000</v>
      </c>
      <c r="G48" s="124">
        <v>5000</v>
      </c>
      <c r="H48" s="124">
        <f>E48+F48-G48</f>
        <v>84000</v>
      </c>
      <c r="I48" s="125">
        <f>H48</f>
        <v>84000</v>
      </c>
    </row>
    <row r="49" spans="1:9" x14ac:dyDescent="0.2">
      <c r="A49" s="126"/>
      <c r="B49" s="127"/>
      <c r="C49" s="127" t="s">
        <v>8</v>
      </c>
      <c r="D49" s="127"/>
      <c r="E49" s="128">
        <v>68180.75</v>
      </c>
      <c r="F49" s="129">
        <v>86000</v>
      </c>
      <c r="G49" s="130">
        <v>69556</v>
      </c>
      <c r="H49" s="130">
        <f>E49+F49-G49</f>
        <v>84624.75</v>
      </c>
      <c r="I49" s="131">
        <v>94380.49</v>
      </c>
    </row>
    <row r="50" spans="1:9" x14ac:dyDescent="0.2">
      <c r="A50" s="126"/>
      <c r="B50" s="127"/>
      <c r="C50" s="127" t="s">
        <v>7</v>
      </c>
      <c r="D50" s="127"/>
      <c r="E50" s="128">
        <v>178247.56</v>
      </c>
      <c r="F50" s="129">
        <f>26090.05+59500</f>
        <v>85590.05</v>
      </c>
      <c r="G50" s="130">
        <v>44771</v>
      </c>
      <c r="H50" s="130">
        <f t="shared" ref="H50:H51" si="0">E50+F50-G50</f>
        <v>219066.61</v>
      </c>
      <c r="I50" s="131">
        <f>172632.61+31434</f>
        <v>204066.61</v>
      </c>
    </row>
    <row r="51" spans="1:9" x14ac:dyDescent="0.2">
      <c r="A51" s="126"/>
      <c r="B51" s="127"/>
      <c r="C51" s="127" t="s">
        <v>15</v>
      </c>
      <c r="D51" s="127"/>
      <c r="E51" s="128">
        <v>693179.24</v>
      </c>
      <c r="F51" s="129">
        <v>491188</v>
      </c>
      <c r="G51" s="130">
        <v>617327</v>
      </c>
      <c r="H51" s="130">
        <f t="shared" si="0"/>
        <v>567040.24</v>
      </c>
      <c r="I51" s="131">
        <v>249399.21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1027607.55</v>
      </c>
      <c r="F52" s="135">
        <f>F48+F49+F50+F51</f>
        <v>663778.05000000005</v>
      </c>
      <c r="G52" s="135">
        <f>G48+G49+G50+G51</f>
        <v>736654</v>
      </c>
      <c r="H52" s="135">
        <f>H48+H49+H50+H51</f>
        <v>954731.6</v>
      </c>
      <c r="I52" s="136">
        <f>I48+I49+I50+I51</f>
        <v>631846.30999999994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t="13.5" thickTop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7:I7"/>
    <mergeCell ref="A31:I33"/>
    <mergeCell ref="H12:I12"/>
    <mergeCell ref="A41:I41"/>
    <mergeCell ref="H43:I43"/>
    <mergeCell ref="E5:I5"/>
    <mergeCell ref="A2:D2"/>
    <mergeCell ref="E2:I2"/>
    <mergeCell ref="E4:I4"/>
    <mergeCell ref="E3:I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11" t="s">
        <v>53</v>
      </c>
      <c r="F2" s="412"/>
      <c r="G2" s="412"/>
      <c r="H2" s="412"/>
      <c r="I2" s="412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139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177">
        <v>70631174</v>
      </c>
      <c r="F6" s="62"/>
      <c r="G6" s="63" t="s">
        <v>39</v>
      </c>
      <c r="H6" s="64">
        <v>1010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8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586000</v>
      </c>
      <c r="F15" s="303">
        <v>6789889.0899999999</v>
      </c>
      <c r="G15" s="26">
        <f>H15+I15</f>
        <v>6789889.0899999999</v>
      </c>
      <c r="H15" s="302">
        <v>6789889.0899999999</v>
      </c>
      <c r="I15" s="302">
        <v>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586000</v>
      </c>
      <c r="F17" s="303">
        <v>6953875.0099999998</v>
      </c>
      <c r="G17" s="26">
        <f>H17+I17</f>
        <v>6802764.21</v>
      </c>
      <c r="H17" s="302">
        <v>6802764.21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12875.120000000112</v>
      </c>
      <c r="H23" s="91">
        <f>H17-H15-H21</f>
        <v>12875.120000000112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12875.12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11875.12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5"/>
      <c r="B31" s="426"/>
      <c r="C31" s="426"/>
      <c r="D31" s="426"/>
      <c r="E31" s="426"/>
      <c r="F31" s="426"/>
      <c r="G31" s="426"/>
      <c r="H31" s="426"/>
      <c r="I31" s="426"/>
    </row>
    <row r="32" spans="1:9" x14ac:dyDescent="0.2">
      <c r="A32" s="426"/>
      <c r="B32" s="426"/>
      <c r="C32" s="426"/>
      <c r="D32" s="426"/>
      <c r="E32" s="426"/>
      <c r="F32" s="426"/>
      <c r="G32" s="426"/>
      <c r="H32" s="426"/>
      <c r="I32" s="426"/>
    </row>
    <row r="33" spans="1:10" x14ac:dyDescent="0.2">
      <c r="A33" s="426"/>
      <c r="B33" s="426"/>
      <c r="C33" s="426"/>
      <c r="D33" s="426"/>
      <c r="E33" s="426"/>
      <c r="F33" s="426"/>
      <c r="G33" s="426"/>
      <c r="H33" s="426"/>
      <c r="I33" s="426"/>
    </row>
    <row r="34" spans="1:10" x14ac:dyDescent="0.2">
      <c r="A34" s="172"/>
      <c r="B34" s="172"/>
      <c r="C34" s="172"/>
      <c r="D34" s="172"/>
      <c r="E34" s="172"/>
      <c r="F34" s="172"/>
      <c r="G34" s="172"/>
      <c r="H34" s="172"/>
      <c r="I34" s="172"/>
    </row>
    <row r="35" spans="1:10" ht="19.5" x14ac:dyDescent="0.4">
      <c r="A35" s="77" t="s">
        <v>30</v>
      </c>
      <c r="B35" s="77" t="s">
        <v>31</v>
      </c>
      <c r="C35" s="77"/>
      <c r="D35" s="103"/>
      <c r="E35" s="81"/>
      <c r="F35" s="3"/>
      <c r="G35" s="104"/>
      <c r="H35" s="95"/>
      <c r="I35" s="95"/>
    </row>
    <row r="36" spans="1:10" ht="18.75" x14ac:dyDescent="0.4">
      <c r="A36" s="77"/>
      <c r="B36" s="77"/>
      <c r="C36" s="77"/>
      <c r="D36" s="103"/>
      <c r="F36" s="105" t="s">
        <v>115</v>
      </c>
      <c r="G36" s="106" t="s">
        <v>0</v>
      </c>
      <c r="H36" s="72"/>
      <c r="I36" s="107" t="s">
        <v>116</v>
      </c>
    </row>
    <row r="37" spans="1:10" ht="16.5" x14ac:dyDescent="0.35">
      <c r="A37" s="108" t="s">
        <v>32</v>
      </c>
      <c r="B37" s="109"/>
      <c r="C37" s="2"/>
      <c r="D37" s="109"/>
      <c r="E37" s="81"/>
      <c r="F37" s="110">
        <v>0</v>
      </c>
      <c r="G37" s="110">
        <v>0</v>
      </c>
      <c r="H37" s="305"/>
      <c r="I37" s="111" t="s">
        <v>225</v>
      </c>
    </row>
    <row r="38" spans="1:10" ht="16.5" x14ac:dyDescent="0.35">
      <c r="A38" s="108" t="s">
        <v>117</v>
      </c>
      <c r="B38" s="109"/>
      <c r="C38" s="2"/>
      <c r="D38" s="112"/>
      <c r="E38" s="112"/>
      <c r="F38" s="110">
        <v>5000</v>
      </c>
      <c r="G38" s="110">
        <v>5061.3999999999996</v>
      </c>
      <c r="H38" s="305"/>
      <c r="I38" s="111">
        <f>G38/F38</f>
        <v>1.0122799999999998</v>
      </c>
      <c r="J38" s="157"/>
    </row>
    <row r="39" spans="1:10" ht="16.5" x14ac:dyDescent="0.35">
      <c r="A39" s="108" t="s">
        <v>118</v>
      </c>
      <c r="B39" s="109"/>
      <c r="C39" s="2"/>
      <c r="D39" s="112"/>
      <c r="E39" s="112"/>
      <c r="F39" s="110">
        <v>0</v>
      </c>
      <c r="G39" s="110">
        <v>0</v>
      </c>
      <c r="H39" s="305"/>
      <c r="I39" s="114" t="s">
        <v>225</v>
      </c>
    </row>
    <row r="40" spans="1:10" ht="16.5" x14ac:dyDescent="0.35">
      <c r="A40" s="108" t="s">
        <v>220</v>
      </c>
      <c r="B40" s="109"/>
      <c r="C40" s="2"/>
      <c r="D40" s="81"/>
      <c r="E40" s="81"/>
      <c r="F40" s="110">
        <v>4000</v>
      </c>
      <c r="G40" s="110">
        <v>4000</v>
      </c>
      <c r="H40" s="305"/>
      <c r="I40" s="111">
        <f>G40/F40</f>
        <v>1</v>
      </c>
    </row>
    <row r="41" spans="1:10" ht="18" x14ac:dyDescent="0.35">
      <c r="A41" s="108" t="s">
        <v>221</v>
      </c>
      <c r="B41" s="151"/>
      <c r="C41" s="151"/>
      <c r="D41" s="152"/>
      <c r="E41" s="152"/>
      <c r="F41" s="153">
        <v>0</v>
      </c>
      <c r="G41" s="154">
        <v>0</v>
      </c>
      <c r="H41" s="305"/>
      <c r="I41" s="114" t="s">
        <v>225</v>
      </c>
      <c r="J41" s="58"/>
    </row>
    <row r="42" spans="1:10" x14ac:dyDescent="0.2">
      <c r="A42" s="307" t="s">
        <v>294</v>
      </c>
      <c r="B42" s="306"/>
      <c r="C42" s="306"/>
      <c r="D42" s="306"/>
      <c r="E42" s="306"/>
      <c r="F42" s="306"/>
      <c r="G42" s="306"/>
      <c r="H42" s="306"/>
      <c r="I42" s="306"/>
    </row>
    <row r="43" spans="1:10" x14ac:dyDescent="0.2">
      <c r="A43" s="247"/>
      <c r="B43" s="247"/>
      <c r="C43" s="247"/>
      <c r="D43" s="247"/>
      <c r="E43" s="247"/>
      <c r="F43" s="247"/>
      <c r="G43" s="247"/>
      <c r="H43" s="247"/>
      <c r="I43" s="247"/>
    </row>
    <row r="44" spans="1:10" ht="19.5" thickBot="1" x14ac:dyDescent="0.45">
      <c r="A44" s="77" t="s">
        <v>11</v>
      </c>
      <c r="B44" s="77" t="s">
        <v>12</v>
      </c>
      <c r="C44" s="79"/>
      <c r="D44" s="81"/>
      <c r="E44" s="81"/>
      <c r="F44" s="118"/>
      <c r="G44" s="119"/>
      <c r="H44" s="419" t="s">
        <v>119</v>
      </c>
      <c r="I44" s="420"/>
    </row>
    <row r="45" spans="1:10" ht="18.75" thickTop="1" x14ac:dyDescent="0.35">
      <c r="A45" s="281"/>
      <c r="B45" s="282"/>
      <c r="C45" s="283"/>
      <c r="D45" s="282"/>
      <c r="E45" s="284" t="s">
        <v>288</v>
      </c>
      <c r="F45" s="285" t="s">
        <v>9</v>
      </c>
      <c r="G45" s="286" t="s">
        <v>10</v>
      </c>
      <c r="H45" s="287" t="s">
        <v>13</v>
      </c>
      <c r="I45" s="288" t="s">
        <v>120</v>
      </c>
    </row>
    <row r="46" spans="1:10" x14ac:dyDescent="0.2">
      <c r="A46" s="289"/>
      <c r="B46" s="290"/>
      <c r="C46" s="290"/>
      <c r="D46" s="290"/>
      <c r="E46" s="289"/>
      <c r="F46" s="415"/>
      <c r="G46" s="291"/>
      <c r="H46" s="292">
        <v>41274</v>
      </c>
      <c r="I46" s="293">
        <v>41274</v>
      </c>
    </row>
    <row r="47" spans="1:10" x14ac:dyDescent="0.2">
      <c r="A47" s="289"/>
      <c r="B47" s="290"/>
      <c r="C47" s="290"/>
      <c r="D47" s="290"/>
      <c r="E47" s="289"/>
      <c r="F47" s="415"/>
      <c r="G47" s="294"/>
      <c r="H47" s="294"/>
      <c r="I47" s="295"/>
    </row>
    <row r="48" spans="1:10" ht="13.5" thickBot="1" x14ac:dyDescent="0.25">
      <c r="A48" s="296"/>
      <c r="B48" s="297"/>
      <c r="C48" s="297"/>
      <c r="D48" s="297"/>
      <c r="E48" s="296"/>
      <c r="F48" s="298"/>
      <c r="G48" s="299"/>
      <c r="H48" s="299"/>
      <c r="I48" s="300"/>
    </row>
    <row r="49" spans="1:9" ht="13.5" thickTop="1" x14ac:dyDescent="0.2">
      <c r="A49" s="120"/>
      <c r="B49" s="121"/>
      <c r="C49" s="121" t="s">
        <v>6</v>
      </c>
      <c r="D49" s="121"/>
      <c r="E49" s="122">
        <v>21500</v>
      </c>
      <c r="F49" s="123">
        <v>1000</v>
      </c>
      <c r="G49" s="124">
        <v>0</v>
      </c>
      <c r="H49" s="124">
        <f>E49+F49-G49</f>
        <v>22500</v>
      </c>
      <c r="I49" s="125">
        <f>H49</f>
        <v>22500</v>
      </c>
    </row>
    <row r="50" spans="1:9" x14ac:dyDescent="0.2">
      <c r="A50" s="126"/>
      <c r="B50" s="127"/>
      <c r="C50" s="127" t="s">
        <v>8</v>
      </c>
      <c r="D50" s="127"/>
      <c r="E50" s="128">
        <v>15390.11</v>
      </c>
      <c r="F50" s="129">
        <v>46742</v>
      </c>
      <c r="G50" s="130">
        <v>31309</v>
      </c>
      <c r="H50" s="130">
        <f>E50+F50-G50</f>
        <v>30823.11</v>
      </c>
      <c r="I50" s="131">
        <f>H50</f>
        <v>30823.11</v>
      </c>
    </row>
    <row r="51" spans="1:9" x14ac:dyDescent="0.2">
      <c r="A51" s="126"/>
      <c r="B51" s="127"/>
      <c r="C51" s="127" t="s">
        <v>7</v>
      </c>
      <c r="D51" s="127"/>
      <c r="E51" s="128">
        <v>213994.76</v>
      </c>
      <c r="F51" s="129">
        <f>15295+205013</f>
        <v>220308</v>
      </c>
      <c r="G51" s="130">
        <v>53902.2</v>
      </c>
      <c r="H51" s="130">
        <f t="shared" ref="H51:H52" si="0">E51+F51-G51</f>
        <v>380400.56</v>
      </c>
      <c r="I51" s="131">
        <f>H51</f>
        <v>380400.56</v>
      </c>
    </row>
    <row r="52" spans="1:9" x14ac:dyDescent="0.2">
      <c r="A52" s="126"/>
      <c r="B52" s="127"/>
      <c r="C52" s="127" t="s">
        <v>15</v>
      </c>
      <c r="D52" s="127"/>
      <c r="E52" s="128">
        <v>82120.100000000006</v>
      </c>
      <c r="F52" s="129">
        <v>5061.3999999999996</v>
      </c>
      <c r="G52" s="130">
        <v>4000</v>
      </c>
      <c r="H52" s="130">
        <f t="shared" si="0"/>
        <v>83181.5</v>
      </c>
      <c r="I52" s="131">
        <f>H52</f>
        <v>83181.5</v>
      </c>
    </row>
    <row r="53" spans="1:9" ht="18.75" thickBot="1" x14ac:dyDescent="0.4">
      <c r="A53" s="132" t="s">
        <v>2</v>
      </c>
      <c r="B53" s="133"/>
      <c r="C53" s="133"/>
      <c r="D53" s="133"/>
      <c r="E53" s="134">
        <f>E49+E50+E51+E52</f>
        <v>333004.96999999997</v>
      </c>
      <c r="F53" s="135">
        <f>F49+F50+F51+F52</f>
        <v>273111.40000000002</v>
      </c>
      <c r="G53" s="135">
        <f>G49+G50+G51+G52</f>
        <v>89211.199999999997</v>
      </c>
      <c r="H53" s="135">
        <f>H49+H50+H51+H52</f>
        <v>516905.17</v>
      </c>
      <c r="I53" s="136">
        <f>I49+I50+I51+I52</f>
        <v>516905.17</v>
      </c>
    </row>
    <row r="54" spans="1:9" ht="18.75" hidden="1" thickTop="1" x14ac:dyDescent="0.35">
      <c r="A54" s="137"/>
      <c r="B54" s="115"/>
      <c r="C54" s="115"/>
      <c r="D54" s="81"/>
      <c r="E54" s="81"/>
      <c r="F54" s="118"/>
      <c r="G54" s="119"/>
      <c r="H54" s="138"/>
      <c r="I54" s="138"/>
    </row>
    <row r="55" spans="1:9" ht="18" hidden="1" x14ac:dyDescent="0.35">
      <c r="A55" s="137"/>
      <c r="B55" s="115"/>
      <c r="C55" s="115"/>
      <c r="D55" s="81"/>
      <c r="E55" s="81"/>
      <c r="F55" s="118"/>
      <c r="G55" s="139"/>
      <c r="H55" s="140"/>
      <c r="I55" s="140"/>
    </row>
    <row r="56" spans="1:9" ht="18" hidden="1" x14ac:dyDescent="0.35">
      <c r="A56" s="141"/>
      <c r="B56" s="142"/>
      <c r="C56" s="142"/>
      <c r="D56" s="143"/>
      <c r="E56" s="143"/>
      <c r="F56" s="140"/>
      <c r="G56" s="140"/>
      <c r="H56" s="140"/>
      <c r="I56" s="140"/>
    </row>
    <row r="57" spans="1:9" ht="13.5" thickTop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x14ac:dyDescent="0.2">
      <c r="A58" s="144"/>
      <c r="B58" s="144"/>
      <c r="C58" s="144"/>
      <c r="D58" s="144"/>
      <c r="E58" s="144"/>
      <c r="F58" s="144"/>
      <c r="G58" s="144"/>
      <c r="H58" s="144"/>
      <c r="I58" s="144"/>
    </row>
  </sheetData>
  <mergeCells count="10">
    <mergeCell ref="F46:F47"/>
    <mergeCell ref="E5:I5"/>
    <mergeCell ref="E7:I7"/>
    <mergeCell ref="H12:I12"/>
    <mergeCell ref="A31:I33"/>
    <mergeCell ref="A2:D2"/>
    <mergeCell ref="E2:I2"/>
    <mergeCell ref="E3:I3"/>
    <mergeCell ref="E4:I4"/>
    <mergeCell ref="H44:I44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211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212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213</v>
      </c>
      <c r="F6" s="62"/>
      <c r="G6" s="63" t="s">
        <v>39</v>
      </c>
      <c r="H6" s="64">
        <v>1351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40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1499000</v>
      </c>
      <c r="F15" s="303">
        <v>5587504.8600000003</v>
      </c>
      <c r="G15" s="26">
        <f>H15+I15</f>
        <v>5587504.8599999994</v>
      </c>
      <c r="H15" s="302">
        <v>5461996.5999999996</v>
      </c>
      <c r="I15" s="302">
        <v>125508.26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1562000</v>
      </c>
      <c r="F17" s="303">
        <v>5754513.8600000003</v>
      </c>
      <c r="G17" s="26">
        <f>H17+I17</f>
        <v>5754513.8600000003</v>
      </c>
      <c r="H17" s="302">
        <v>5574893.8600000003</v>
      </c>
      <c r="I17" s="302">
        <v>179620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167009.00000000093</v>
      </c>
      <c r="H23" s="91">
        <f>H17-H15-H21</f>
        <v>112897.26000000071</v>
      </c>
      <c r="I23" s="91">
        <f>I17-I15-I21</f>
        <v>54111.740000000005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167009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162009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ht="12.75" customHeight="1" x14ac:dyDescent="0.2">
      <c r="A31" s="450"/>
      <c r="B31" s="452"/>
      <c r="C31" s="452"/>
      <c r="D31" s="452"/>
      <c r="E31" s="452"/>
      <c r="F31" s="452"/>
      <c r="G31" s="452"/>
      <c r="H31" s="452"/>
      <c r="I31" s="452"/>
    </row>
    <row r="32" spans="1:9" x14ac:dyDescent="0.2">
      <c r="A32" s="452"/>
      <c r="B32" s="452"/>
      <c r="C32" s="452"/>
      <c r="D32" s="452"/>
      <c r="E32" s="452"/>
      <c r="F32" s="452"/>
      <c r="G32" s="452"/>
      <c r="H32" s="452"/>
      <c r="I32" s="452"/>
    </row>
    <row r="33" spans="1:10" x14ac:dyDescent="0.2">
      <c r="A33" s="452"/>
      <c r="B33" s="452"/>
      <c r="C33" s="452"/>
      <c r="D33" s="452"/>
      <c r="E33" s="452"/>
      <c r="F33" s="452"/>
      <c r="G33" s="452"/>
      <c r="H33" s="452"/>
      <c r="I33" s="45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170000</v>
      </c>
      <c r="G36" s="110">
        <v>80913</v>
      </c>
      <c r="H36" s="305"/>
      <c r="I36" s="111">
        <f>G36/F36</f>
        <v>0.47595882352941177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2721</v>
      </c>
      <c r="G37" s="110">
        <v>2721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2541</v>
      </c>
      <c r="G39" s="110">
        <v>2541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58"/>
      <c r="B41" s="458"/>
      <c r="C41" s="458"/>
      <c r="D41" s="458"/>
      <c r="E41" s="458"/>
      <c r="F41" s="458"/>
      <c r="G41" s="458"/>
      <c r="H41" s="458"/>
      <c r="I41" s="458"/>
    </row>
    <row r="42" spans="1:10" ht="18" x14ac:dyDescent="0.35">
      <c r="A42" s="108"/>
      <c r="B42" s="151"/>
      <c r="C42" s="151"/>
      <c r="D42" s="152"/>
      <c r="E42" s="152"/>
      <c r="F42" s="153"/>
      <c r="G42" s="154"/>
      <c r="H42" s="94"/>
      <c r="I42" s="155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33753</v>
      </c>
      <c r="F48" s="123">
        <v>0</v>
      </c>
      <c r="G48" s="124">
        <v>2000</v>
      </c>
      <c r="H48" s="124">
        <f>E48+F48-G48</f>
        <v>31753</v>
      </c>
      <c r="I48" s="125">
        <f>H48</f>
        <v>31753</v>
      </c>
    </row>
    <row r="49" spans="1:9" x14ac:dyDescent="0.2">
      <c r="A49" s="126"/>
      <c r="B49" s="127"/>
      <c r="C49" s="127" t="s">
        <v>8</v>
      </c>
      <c r="D49" s="127"/>
      <c r="E49" s="128">
        <v>45601.75</v>
      </c>
      <c r="F49" s="129">
        <v>31300</v>
      </c>
      <c r="G49" s="130">
        <v>43004.7</v>
      </c>
      <c r="H49" s="130">
        <f>E49+F49-G49</f>
        <v>33897.050000000003</v>
      </c>
      <c r="I49" s="131">
        <v>28131.3</v>
      </c>
    </row>
    <row r="50" spans="1:9" x14ac:dyDescent="0.2">
      <c r="A50" s="126"/>
      <c r="B50" s="127"/>
      <c r="C50" s="127" t="s">
        <v>7</v>
      </c>
      <c r="D50" s="127"/>
      <c r="E50" s="128">
        <v>83129.89</v>
      </c>
      <c r="F50" s="129">
        <v>55000</v>
      </c>
      <c r="G50" s="148">
        <f>26921.7+55000</f>
        <v>81921.7</v>
      </c>
      <c r="H50" s="130">
        <f t="shared" ref="H50:H51" si="0">E50+F50-G50</f>
        <v>56208.190000000017</v>
      </c>
      <c r="I50" s="131">
        <f>H50</f>
        <v>56208.190000000017</v>
      </c>
    </row>
    <row r="51" spans="1:9" x14ac:dyDescent="0.2">
      <c r="A51" s="126"/>
      <c r="B51" s="127"/>
      <c r="C51" s="127" t="s">
        <v>15</v>
      </c>
      <c r="D51" s="127"/>
      <c r="E51" s="128">
        <v>194241.29</v>
      </c>
      <c r="F51" s="129">
        <v>2721</v>
      </c>
      <c r="G51" s="130">
        <v>148103</v>
      </c>
      <c r="H51" s="130">
        <f t="shared" si="0"/>
        <v>48859.290000000008</v>
      </c>
      <c r="I51" s="131">
        <f>H51</f>
        <v>48859.290000000008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356725.93000000005</v>
      </c>
      <c r="F52" s="135">
        <f>F48+F49+F50+F51</f>
        <v>89021</v>
      </c>
      <c r="G52" s="135">
        <f>G48+G49+G50+G51</f>
        <v>275029.40000000002</v>
      </c>
      <c r="H52" s="135">
        <f>H48+H49+H50+H51</f>
        <v>170717.53000000003</v>
      </c>
      <c r="I52" s="136">
        <f>I48+I49+I50+I51</f>
        <v>164951.78000000003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H12:I12"/>
    <mergeCell ref="E7:I7"/>
    <mergeCell ref="A41:I41"/>
    <mergeCell ref="A31:I33"/>
    <mergeCell ref="A2:D2"/>
    <mergeCell ref="E2:I2"/>
    <mergeCell ref="E4:I4"/>
    <mergeCell ref="E3:I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7">
    <tabColor theme="3" tint="0.59999389629810485"/>
  </sheetPr>
  <dimension ref="A1:J54"/>
  <sheetViews>
    <sheetView zoomScaleNormal="100" workbookViewId="0">
      <selection activeCell="B39" sqref="A39:I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214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215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216</v>
      </c>
      <c r="F6" s="62"/>
      <c r="G6" s="63" t="s">
        <v>39</v>
      </c>
      <c r="H6" s="64">
        <v>1352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6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2726000</v>
      </c>
      <c r="F15" s="303">
        <v>6033446</v>
      </c>
      <c r="G15" s="26">
        <f>H15+I15</f>
        <v>6077456.2999999998</v>
      </c>
      <c r="H15" s="302">
        <v>5790063.2999999998</v>
      </c>
      <c r="I15" s="302">
        <v>287393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2726000</v>
      </c>
      <c r="F17" s="303">
        <v>6033446</v>
      </c>
      <c r="G17" s="26">
        <f>H17+I17</f>
        <v>6165431.3999999994</v>
      </c>
      <c r="H17" s="302">
        <v>5820983.7699999996</v>
      </c>
      <c r="I17" s="302">
        <v>344447.63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87975.099999999627</v>
      </c>
      <c r="H23" s="91">
        <f>H17-H15-H21</f>
        <v>30920.469999999739</v>
      </c>
      <c r="I23" s="91">
        <f>I17-I15-I21</f>
        <v>57054.630000000005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87975.1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47000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40975.1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59"/>
      <c r="B31" s="460"/>
      <c r="C31" s="460"/>
      <c r="D31" s="460"/>
      <c r="E31" s="460"/>
      <c r="F31" s="460"/>
      <c r="G31" s="460"/>
      <c r="H31" s="460"/>
      <c r="I31" s="460"/>
    </row>
    <row r="32" spans="1:9" x14ac:dyDescent="0.2">
      <c r="A32" s="150"/>
      <c r="B32" s="150"/>
      <c r="C32" s="150"/>
      <c r="D32" s="150"/>
      <c r="E32" s="150"/>
      <c r="F32" s="150"/>
      <c r="G32" s="150"/>
      <c r="H32" s="150"/>
      <c r="I32" s="150"/>
    </row>
    <row r="33" spans="1:10" ht="19.5" x14ac:dyDescent="0.4">
      <c r="A33" s="77" t="s">
        <v>30</v>
      </c>
      <c r="B33" s="77" t="s">
        <v>31</v>
      </c>
      <c r="C33" s="77"/>
      <c r="D33" s="103"/>
      <c r="E33" s="81"/>
      <c r="F33" s="3"/>
      <c r="G33" s="104"/>
      <c r="H33" s="95"/>
      <c r="I33" s="95"/>
    </row>
    <row r="34" spans="1:10" ht="18.75" x14ac:dyDescent="0.4">
      <c r="A34" s="77"/>
      <c r="B34" s="77"/>
      <c r="C34" s="77"/>
      <c r="D34" s="103"/>
      <c r="F34" s="105" t="s">
        <v>115</v>
      </c>
      <c r="G34" s="106" t="s">
        <v>0</v>
      </c>
      <c r="H34" s="72"/>
      <c r="I34" s="107" t="s">
        <v>116</v>
      </c>
    </row>
    <row r="35" spans="1:10" ht="16.5" x14ac:dyDescent="0.35">
      <c r="A35" s="108" t="s">
        <v>32</v>
      </c>
      <c r="B35" s="109"/>
      <c r="C35" s="2"/>
      <c r="D35" s="109"/>
      <c r="E35" s="81"/>
      <c r="F35" s="110">
        <v>155000</v>
      </c>
      <c r="G35" s="110">
        <v>139230</v>
      </c>
      <c r="H35" s="305"/>
      <c r="I35" s="111">
        <f>G35/F35</f>
        <v>0.898258064516129</v>
      </c>
    </row>
    <row r="36" spans="1:10" ht="16.5" x14ac:dyDescent="0.35">
      <c r="A36" s="108" t="s">
        <v>117</v>
      </c>
      <c r="B36" s="109"/>
      <c r="C36" s="2"/>
      <c r="D36" s="112"/>
      <c r="E36" s="112"/>
      <c r="F36" s="110">
        <v>49146</v>
      </c>
      <c r="G36" s="110">
        <v>49146</v>
      </c>
      <c r="H36" s="305"/>
      <c r="I36" s="111">
        <f>G36/F36</f>
        <v>1</v>
      </c>
    </row>
    <row r="37" spans="1:10" ht="16.5" x14ac:dyDescent="0.35">
      <c r="A37" s="108" t="s">
        <v>118</v>
      </c>
      <c r="B37" s="109"/>
      <c r="C37" s="2"/>
      <c r="D37" s="112"/>
      <c r="E37" s="112"/>
      <c r="F37" s="110">
        <v>0</v>
      </c>
      <c r="G37" s="110">
        <v>0</v>
      </c>
      <c r="H37" s="305"/>
      <c r="I37" s="114" t="s">
        <v>225</v>
      </c>
    </row>
    <row r="38" spans="1:10" ht="16.5" x14ac:dyDescent="0.35">
      <c r="A38" s="108" t="s">
        <v>220</v>
      </c>
      <c r="B38" s="109"/>
      <c r="C38" s="2"/>
      <c r="D38" s="81"/>
      <c r="E38" s="81"/>
      <c r="F38" s="110">
        <v>39146</v>
      </c>
      <c r="G38" s="110">
        <v>39146</v>
      </c>
      <c r="H38" s="305"/>
      <c r="I38" s="111">
        <f>G38/F38</f>
        <v>1</v>
      </c>
    </row>
    <row r="39" spans="1:10" ht="18" x14ac:dyDescent="0.35">
      <c r="A39" s="108" t="s">
        <v>221</v>
      </c>
      <c r="B39" s="115"/>
      <c r="C39" s="115"/>
      <c r="D39" s="81"/>
      <c r="E39" s="81"/>
      <c r="F39" s="116">
        <v>0</v>
      </c>
      <c r="G39" s="110">
        <v>0</v>
      </c>
      <c r="H39" s="305"/>
      <c r="I39" s="114" t="s">
        <v>225</v>
      </c>
    </row>
    <row r="40" spans="1:10" x14ac:dyDescent="0.2">
      <c r="A40" s="423"/>
      <c r="B40" s="423"/>
      <c r="C40" s="423"/>
      <c r="D40" s="423"/>
      <c r="E40" s="423"/>
      <c r="F40" s="423"/>
      <c r="G40" s="423"/>
      <c r="H40" s="423"/>
      <c r="I40" s="423"/>
    </row>
    <row r="41" spans="1:10" ht="18" x14ac:dyDescent="0.35">
      <c r="A41" s="108"/>
      <c r="B41" s="151"/>
      <c r="C41" s="151"/>
      <c r="D41" s="152"/>
      <c r="E41" s="152"/>
      <c r="F41" s="153"/>
      <c r="G41" s="154"/>
      <c r="H41" s="94"/>
      <c r="I41" s="155"/>
      <c r="J41" s="58"/>
    </row>
    <row r="42" spans="1:10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10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10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10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10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10" ht="13.5" thickTop="1" x14ac:dyDescent="0.2">
      <c r="A47" s="120"/>
      <c r="B47" s="121"/>
      <c r="C47" s="121" t="s">
        <v>6</v>
      </c>
      <c r="D47" s="121"/>
      <c r="E47" s="122">
        <v>20159</v>
      </c>
      <c r="F47" s="123">
        <v>20000</v>
      </c>
      <c r="G47" s="124">
        <v>5000</v>
      </c>
      <c r="H47" s="124">
        <f>E47+F47-G47</f>
        <v>35159</v>
      </c>
      <c r="I47" s="125">
        <f>H47</f>
        <v>35159</v>
      </c>
    </row>
    <row r="48" spans="1:10" x14ac:dyDescent="0.2">
      <c r="A48" s="126"/>
      <c r="B48" s="127"/>
      <c r="C48" s="127" t="s">
        <v>8</v>
      </c>
      <c r="D48" s="127"/>
      <c r="E48" s="128">
        <v>2995.77</v>
      </c>
      <c r="F48" s="129">
        <v>19725</v>
      </c>
      <c r="G48" s="130">
        <v>12280</v>
      </c>
      <c r="H48" s="130">
        <f>E48+F48-G48</f>
        <v>10440.77</v>
      </c>
      <c r="I48" s="131">
        <v>8573.83</v>
      </c>
    </row>
    <row r="49" spans="1:9" x14ac:dyDescent="0.2">
      <c r="A49" s="126"/>
      <c r="B49" s="127"/>
      <c r="C49" s="127" t="s">
        <v>7</v>
      </c>
      <c r="D49" s="127"/>
      <c r="E49" s="128">
        <v>116879.32</v>
      </c>
      <c r="F49" s="129">
        <f>60371.04+12000</f>
        <v>72371.040000000008</v>
      </c>
      <c r="G49" s="130">
        <v>12000</v>
      </c>
      <c r="H49" s="130">
        <f t="shared" ref="H49:H50" si="0">E49+F49-G49</f>
        <v>177250.36000000002</v>
      </c>
      <c r="I49" s="131">
        <f>H49</f>
        <v>177250.36000000002</v>
      </c>
    </row>
    <row r="50" spans="1:9" x14ac:dyDescent="0.2">
      <c r="A50" s="126"/>
      <c r="B50" s="127"/>
      <c r="C50" s="127" t="s">
        <v>15</v>
      </c>
      <c r="D50" s="127"/>
      <c r="E50" s="128">
        <v>344894.08</v>
      </c>
      <c r="F50" s="129">
        <v>145788</v>
      </c>
      <c r="G50" s="130">
        <v>119136</v>
      </c>
      <c r="H50" s="130">
        <f t="shared" si="0"/>
        <v>371546.08</v>
      </c>
      <c r="I50" s="131">
        <f>H50</f>
        <v>371546.08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484928.17000000004</v>
      </c>
      <c r="F51" s="135">
        <f>F47+F48+F49+F50</f>
        <v>257884.04</v>
      </c>
      <c r="G51" s="135">
        <f>G47+G48+G49+G50</f>
        <v>148416</v>
      </c>
      <c r="H51" s="135">
        <f>H47+H48+H49+H50</f>
        <v>594396.21</v>
      </c>
      <c r="I51" s="136">
        <f>I47+I48+I49+I50</f>
        <v>592529.27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hidden="1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hidden="1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</sheetData>
  <mergeCells count="11">
    <mergeCell ref="F44:F45"/>
    <mergeCell ref="H12:I12"/>
    <mergeCell ref="A40:I40"/>
    <mergeCell ref="A31:I31"/>
    <mergeCell ref="E5:I5"/>
    <mergeCell ref="E7:I7"/>
    <mergeCell ref="A2:D2"/>
    <mergeCell ref="E2:I2"/>
    <mergeCell ref="E4:I4"/>
    <mergeCell ref="E3:I3"/>
    <mergeCell ref="H42:I42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710937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217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61" t="s">
        <v>283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218</v>
      </c>
      <c r="F6" s="62"/>
      <c r="G6" s="63" t="s">
        <v>39</v>
      </c>
      <c r="H6" s="64">
        <v>1400</v>
      </c>
    </row>
    <row r="7" spans="1:9" ht="7.5" customHeight="1" x14ac:dyDescent="0.4">
      <c r="A7" s="60"/>
      <c r="E7" s="413" t="s">
        <v>110</v>
      </c>
      <c r="F7" s="413"/>
      <c r="G7" s="413"/>
      <c r="H7" s="413"/>
      <c r="I7" s="413"/>
    </row>
    <row r="8" spans="1:9" ht="2.25" customHeight="1" x14ac:dyDescent="0.4">
      <c r="A8" s="60"/>
      <c r="E8" s="65"/>
      <c r="F8" s="65"/>
      <c r="G8" s="65"/>
      <c r="H8" s="63"/>
      <c r="I8" s="65"/>
    </row>
    <row r="9" spans="1:9" ht="35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6356000</v>
      </c>
      <c r="F15" s="303">
        <v>19138300</v>
      </c>
      <c r="G15" s="26">
        <f>H15+I15</f>
        <v>18760213.82</v>
      </c>
      <c r="H15" s="302">
        <v>18469292.82</v>
      </c>
      <c r="I15" s="302">
        <v>290921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6356000</v>
      </c>
      <c r="F17" s="303">
        <v>19138300</v>
      </c>
      <c r="G17" s="26">
        <f>H17+I17</f>
        <v>18829507.59</v>
      </c>
      <c r="H17" s="302">
        <v>18454614.59</v>
      </c>
      <c r="I17" s="302">
        <v>374893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69293.769999999553</v>
      </c>
      <c r="H23" s="91">
        <f>H17-H15-H21</f>
        <v>-14678.230000000447</v>
      </c>
      <c r="I23" s="91">
        <f>I17-I15-I21</f>
        <v>83972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69293.77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1999.99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67293.78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s="147" customFormat="1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  <c r="J36" s="146"/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608000</v>
      </c>
      <c r="G37" s="110">
        <v>609103</v>
      </c>
      <c r="H37" s="305"/>
      <c r="I37" s="111">
        <f>G37/F37</f>
        <v>1.001814144736842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464000</v>
      </c>
      <c r="G39" s="110">
        <v>464000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429" t="s">
        <v>324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71800.009999999995</v>
      </c>
      <c r="F48" s="123">
        <v>0</v>
      </c>
      <c r="G48" s="124">
        <v>8800</v>
      </c>
      <c r="H48" s="124">
        <f>E48+F48-G48</f>
        <v>63000.009999999995</v>
      </c>
      <c r="I48" s="125">
        <f>H48</f>
        <v>63000.009999999995</v>
      </c>
    </row>
    <row r="49" spans="1:9" x14ac:dyDescent="0.2">
      <c r="A49" s="126"/>
      <c r="B49" s="127"/>
      <c r="C49" s="127" t="s">
        <v>8</v>
      </c>
      <c r="D49" s="127"/>
      <c r="E49" s="128">
        <v>10804.67</v>
      </c>
      <c r="F49" s="129">
        <v>92297</v>
      </c>
      <c r="G49" s="130">
        <v>102020</v>
      </c>
      <c r="H49" s="130">
        <f>E49+F49-G49</f>
        <v>1081.6699999999983</v>
      </c>
      <c r="I49" s="131">
        <v>148.59</v>
      </c>
    </row>
    <row r="50" spans="1:9" x14ac:dyDescent="0.2">
      <c r="A50" s="126"/>
      <c r="B50" s="127"/>
      <c r="C50" s="127" t="s">
        <v>7</v>
      </c>
      <c r="D50" s="127"/>
      <c r="E50" s="128">
        <v>802849.22</v>
      </c>
      <c r="F50" s="129">
        <f>30222.7+635554</f>
        <v>665776.69999999995</v>
      </c>
      <c r="G50" s="148">
        <v>526096.06000000006</v>
      </c>
      <c r="H50" s="130">
        <f t="shared" ref="H50:H51" si="0">E50+F50-G50</f>
        <v>942529.85999999987</v>
      </c>
      <c r="I50" s="131">
        <f>28887.6+661625.26</f>
        <v>690512.86</v>
      </c>
    </row>
    <row r="51" spans="1:9" x14ac:dyDescent="0.2">
      <c r="A51" s="126"/>
      <c r="B51" s="127"/>
      <c r="C51" s="127" t="s">
        <v>15</v>
      </c>
      <c r="D51" s="127"/>
      <c r="E51" s="128">
        <v>154804.79999999999</v>
      </c>
      <c r="F51" s="129">
        <v>613048</v>
      </c>
      <c r="G51" s="130">
        <v>468820</v>
      </c>
      <c r="H51" s="130">
        <f t="shared" si="0"/>
        <v>299032.80000000005</v>
      </c>
      <c r="I51" s="131">
        <f>H51</f>
        <v>299032.80000000005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1040258.7</v>
      </c>
      <c r="F52" s="135">
        <f>F48+F49+F50+F51</f>
        <v>1371121.7</v>
      </c>
      <c r="G52" s="135">
        <f>G48+G49+G50+G51</f>
        <v>1105736.06</v>
      </c>
      <c r="H52" s="135">
        <f>H48+H49+H50+H51</f>
        <v>1305644.3399999999</v>
      </c>
      <c r="I52" s="136">
        <f>I48+I49+I50+I51</f>
        <v>1052694.26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4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idden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ht="13.5" thickTop="1" x14ac:dyDescent="0.2"/>
  </sheetData>
  <mergeCells count="11">
    <mergeCell ref="F45:F46"/>
    <mergeCell ref="H12:I12"/>
    <mergeCell ref="A41:I41"/>
    <mergeCell ref="A31:I33"/>
    <mergeCell ref="E5:I5"/>
    <mergeCell ref="E7:I7"/>
    <mergeCell ref="A2:D2"/>
    <mergeCell ref="E2:I2"/>
    <mergeCell ref="E4:I4"/>
    <mergeCell ref="E3:I3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5703125" style="55" customWidth="1"/>
    <col min="10" max="10" width="18.85546875" style="278" customWidth="1"/>
    <col min="11" max="11" width="16.28515625" style="278" customWidth="1"/>
    <col min="12" max="16384" width="9.140625" style="278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280</v>
      </c>
      <c r="F2" s="427"/>
      <c r="G2" s="427"/>
      <c r="H2" s="427"/>
      <c r="I2" s="427"/>
    </row>
    <row r="3" spans="1:9" ht="19.5" x14ac:dyDescent="0.4">
      <c r="A3" s="275"/>
      <c r="B3" s="275"/>
      <c r="C3" s="275"/>
      <c r="D3" s="275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158</v>
      </c>
      <c r="F4" s="424"/>
      <c r="G4" s="424"/>
      <c r="H4" s="424"/>
      <c r="I4" s="424"/>
    </row>
    <row r="5" spans="1:9" ht="15.75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301" t="s">
        <v>284</v>
      </c>
      <c r="F6" s="62"/>
      <c r="G6" s="63" t="s">
        <v>39</v>
      </c>
      <c r="H6" s="64">
        <v>1420</v>
      </c>
    </row>
    <row r="7" spans="1:9" ht="19.5" x14ac:dyDescent="0.4">
      <c r="A7" s="60"/>
      <c r="E7" s="413" t="s">
        <v>110</v>
      </c>
      <c r="F7" s="413"/>
      <c r="G7" s="413"/>
      <c r="H7" s="413"/>
      <c r="I7" s="413"/>
    </row>
    <row r="8" spans="1:9" ht="8.25" customHeight="1" x14ac:dyDescent="0.4">
      <c r="A8" s="60"/>
      <c r="E8" s="65"/>
      <c r="F8" s="65"/>
      <c r="G8" s="65"/>
      <c r="H8" s="63"/>
      <c r="I8" s="65"/>
    </row>
    <row r="9" spans="1:9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2.25" customHeight="1" x14ac:dyDescent="0.2">
      <c r="A13" s="72"/>
      <c r="B13" s="72"/>
      <c r="C13" s="72"/>
      <c r="D13" s="72"/>
      <c r="E13" s="69"/>
      <c r="F13" s="69"/>
      <c r="G13" s="75"/>
      <c r="H13" s="276"/>
      <c r="I13" s="277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15500000</v>
      </c>
      <c r="F15" s="303">
        <v>18103676.600000001</v>
      </c>
      <c r="G15" s="26">
        <f>H15+I15</f>
        <v>18080838.43</v>
      </c>
      <c r="H15" s="302">
        <v>16738373.310000001</v>
      </c>
      <c r="I15" s="302">
        <v>1342465.12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15536000</v>
      </c>
      <c r="F17" s="303">
        <v>18257096.300000001</v>
      </c>
      <c r="G17" s="26">
        <f>H17+I17</f>
        <v>18239484.82</v>
      </c>
      <c r="H17" s="302">
        <v>16799546.02</v>
      </c>
      <c r="I17" s="302">
        <v>1439938.8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hidden="1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26410</v>
      </c>
      <c r="H21" s="30">
        <v>14060</v>
      </c>
      <c r="I21" s="30">
        <v>12350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132236.3900000006</v>
      </c>
      <c r="H23" s="91">
        <f>H17-H15-H21</f>
        <v>47112.709999999031</v>
      </c>
      <c r="I23" s="91">
        <f>I17-I15-I21</f>
        <v>85123.679999999935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132236.39000000001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6000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126236.39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62"/>
      <c r="B31" s="463"/>
      <c r="C31" s="463"/>
      <c r="D31" s="463"/>
      <c r="E31" s="463"/>
      <c r="F31" s="463"/>
      <c r="G31" s="463"/>
      <c r="H31" s="463"/>
      <c r="I31" s="463"/>
    </row>
    <row r="32" spans="1:9" x14ac:dyDescent="0.2">
      <c r="A32" s="463"/>
      <c r="B32" s="463"/>
      <c r="C32" s="463"/>
      <c r="D32" s="463"/>
      <c r="E32" s="463"/>
      <c r="F32" s="463"/>
      <c r="G32" s="463"/>
      <c r="H32" s="463"/>
      <c r="I32" s="463"/>
    </row>
    <row r="33" spans="1:9" x14ac:dyDescent="0.2">
      <c r="A33" s="463"/>
      <c r="B33" s="463"/>
      <c r="C33" s="463"/>
      <c r="D33" s="463"/>
      <c r="E33" s="463"/>
      <c r="F33" s="463"/>
      <c r="G33" s="463"/>
      <c r="H33" s="463"/>
      <c r="I33" s="463"/>
    </row>
    <row r="34" spans="1:9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9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9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9" ht="16.5" x14ac:dyDescent="0.35">
      <c r="A37" s="108" t="s">
        <v>117</v>
      </c>
      <c r="B37" s="109"/>
      <c r="C37" s="2"/>
      <c r="D37" s="112"/>
      <c r="E37" s="112"/>
      <c r="F37" s="110">
        <v>3947000</v>
      </c>
      <c r="G37" s="110">
        <v>3934837.52</v>
      </c>
      <c r="H37" s="305"/>
      <c r="I37" s="111">
        <f>G37/F37</f>
        <v>0.99691855079807445</v>
      </c>
    </row>
    <row r="38" spans="1:9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9" ht="16.5" x14ac:dyDescent="0.35">
      <c r="A39" s="108" t="s">
        <v>220</v>
      </c>
      <c r="B39" s="109"/>
      <c r="C39" s="2"/>
      <c r="D39" s="81"/>
      <c r="E39" s="81"/>
      <c r="F39" s="110">
        <v>2960000</v>
      </c>
      <c r="G39" s="110">
        <v>2960000</v>
      </c>
      <c r="H39" s="305"/>
      <c r="I39" s="111">
        <f>G39/F39</f>
        <v>1</v>
      </c>
    </row>
    <row r="40" spans="1:9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9" x14ac:dyDescent="0.2">
      <c r="A41" s="444" t="s">
        <v>318</v>
      </c>
      <c r="B41" s="445"/>
      <c r="C41" s="445"/>
      <c r="D41" s="445"/>
      <c r="E41" s="445"/>
      <c r="F41" s="445"/>
      <c r="G41" s="445"/>
      <c r="H41" s="445"/>
      <c r="I41" s="445"/>
    </row>
    <row r="42" spans="1:9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9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9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9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9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9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9" ht="13.5" thickTop="1" x14ac:dyDescent="0.2">
      <c r="A48" s="120"/>
      <c r="B48" s="121"/>
      <c r="C48" s="121" t="s">
        <v>6</v>
      </c>
      <c r="D48" s="121"/>
      <c r="E48" s="122">
        <v>0</v>
      </c>
      <c r="F48" s="123">
        <v>4000</v>
      </c>
      <c r="G48" s="124">
        <v>2000</v>
      </c>
      <c r="H48" s="124">
        <f>E48+F48-G48</f>
        <v>2000</v>
      </c>
      <c r="I48" s="125">
        <f>H48</f>
        <v>2000</v>
      </c>
    </row>
    <row r="49" spans="1:9" x14ac:dyDescent="0.2">
      <c r="A49" s="126"/>
      <c r="B49" s="127"/>
      <c r="C49" s="127" t="s">
        <v>8</v>
      </c>
      <c r="D49" s="127"/>
      <c r="E49" s="128">
        <v>59722.64</v>
      </c>
      <c r="F49" s="129">
        <v>27981</v>
      </c>
      <c r="G49" s="130">
        <v>62290</v>
      </c>
      <c r="H49" s="130">
        <f>E49+F49-G49</f>
        <v>25413.64</v>
      </c>
      <c r="I49" s="131">
        <v>26517.98</v>
      </c>
    </row>
    <row r="50" spans="1:9" x14ac:dyDescent="0.2">
      <c r="A50" s="126"/>
      <c r="B50" s="127"/>
      <c r="C50" s="127" t="s">
        <v>7</v>
      </c>
      <c r="D50" s="127"/>
      <c r="E50" s="128">
        <v>0</v>
      </c>
      <c r="F50" s="129">
        <v>247674.61</v>
      </c>
      <c r="G50" s="130">
        <v>0</v>
      </c>
      <c r="H50" s="130">
        <f t="shared" ref="H50:H51" si="0">E50+F50-G50</f>
        <v>247674.61</v>
      </c>
      <c r="I50" s="131">
        <v>247674.61</v>
      </c>
    </row>
    <row r="51" spans="1:9" x14ac:dyDescent="0.2">
      <c r="A51" s="126"/>
      <c r="B51" s="127"/>
      <c r="C51" s="127" t="s">
        <v>15</v>
      </c>
      <c r="D51" s="127"/>
      <c r="E51" s="128">
        <v>519808</v>
      </c>
      <c r="F51" s="129">
        <v>4161578</v>
      </c>
      <c r="G51" s="130">
        <v>3120024.72</v>
      </c>
      <c r="H51" s="130">
        <f t="shared" si="0"/>
        <v>1561361.2799999998</v>
      </c>
      <c r="I51" s="131">
        <f>H51</f>
        <v>1561361.2799999998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579530.64</v>
      </c>
      <c r="F52" s="135">
        <f>F48+F49+F50+F51</f>
        <v>4441233.6100000003</v>
      </c>
      <c r="G52" s="135">
        <f>G48+G49+G50+G51</f>
        <v>3184314.72</v>
      </c>
      <c r="H52" s="135">
        <f>H48+H49+H50+H51</f>
        <v>1836449.5299999998</v>
      </c>
      <c r="I52" s="136">
        <f>I48+I49+I50+I51</f>
        <v>1837553.8699999996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H12:I12"/>
    <mergeCell ref="A31:I33"/>
    <mergeCell ref="A41:I41"/>
    <mergeCell ref="H43:I43"/>
    <mergeCell ref="F45:F46"/>
    <mergeCell ref="E7:I7"/>
    <mergeCell ref="A2:D2"/>
    <mergeCell ref="E2:I2"/>
    <mergeCell ref="E3:I3"/>
    <mergeCell ref="E4:I4"/>
    <mergeCell ref="E5:I5"/>
  </mergeCells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10" ht="19.5" x14ac:dyDescent="0.4">
      <c r="A1" s="53" t="s">
        <v>26</v>
      </c>
      <c r="B1" s="54"/>
      <c r="C1" s="54"/>
      <c r="D1" s="54"/>
    </row>
    <row r="2" spans="1:10" ht="19.5" x14ac:dyDescent="0.4">
      <c r="A2" s="410" t="s">
        <v>108</v>
      </c>
      <c r="B2" s="410"/>
      <c r="C2" s="410"/>
      <c r="D2" s="410"/>
      <c r="E2" s="427" t="s">
        <v>268</v>
      </c>
      <c r="F2" s="427"/>
      <c r="G2" s="427"/>
      <c r="H2" s="427"/>
      <c r="I2" s="427"/>
      <c r="J2" s="58"/>
    </row>
    <row r="3" spans="1:10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10" ht="15.75" x14ac:dyDescent="0.25">
      <c r="A4" s="59" t="s">
        <v>27</v>
      </c>
      <c r="E4" s="461" t="s">
        <v>285</v>
      </c>
      <c r="F4" s="424"/>
      <c r="G4" s="424"/>
      <c r="H4" s="424"/>
      <c r="I4" s="424"/>
    </row>
    <row r="5" spans="1:10" ht="9.75" customHeight="1" x14ac:dyDescent="0.25">
      <c r="A5" s="59"/>
      <c r="E5" s="413" t="s">
        <v>109</v>
      </c>
      <c r="F5" s="413"/>
      <c r="G5" s="413"/>
      <c r="H5" s="413"/>
      <c r="I5" s="413"/>
    </row>
    <row r="6" spans="1:10" ht="19.5" x14ac:dyDescent="0.4">
      <c r="A6" s="60" t="s">
        <v>24</v>
      </c>
      <c r="E6" s="61" t="s">
        <v>219</v>
      </c>
      <c r="F6" s="62"/>
      <c r="G6" s="63" t="s">
        <v>39</v>
      </c>
      <c r="H6" s="64">
        <v>1450</v>
      </c>
    </row>
    <row r="7" spans="1:10" ht="7.5" customHeight="1" x14ac:dyDescent="0.4">
      <c r="A7" s="60"/>
      <c r="E7" s="413" t="s">
        <v>110</v>
      </c>
      <c r="F7" s="413"/>
      <c r="G7" s="413"/>
      <c r="H7" s="413"/>
      <c r="I7" s="413"/>
    </row>
    <row r="8" spans="1:10" ht="3.75" customHeight="1" x14ac:dyDescent="0.4">
      <c r="A8" s="60"/>
      <c r="E8" s="65"/>
      <c r="F8" s="65"/>
      <c r="G8" s="65"/>
      <c r="H8" s="63"/>
      <c r="I8" s="65"/>
    </row>
    <row r="9" spans="1:10" ht="36" customHeight="1" x14ac:dyDescent="0.2">
      <c r="F9" s="66"/>
    </row>
    <row r="10" spans="1:10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10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10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10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10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10" ht="19.5" x14ac:dyDescent="0.4">
      <c r="A15" s="82" t="s">
        <v>3</v>
      </c>
      <c r="B15" s="77"/>
      <c r="C15" s="78"/>
      <c r="D15" s="79"/>
      <c r="E15" s="302">
        <v>3132000</v>
      </c>
      <c r="F15" s="303">
        <v>27221715</v>
      </c>
      <c r="G15" s="26">
        <f>H15+I15</f>
        <v>27091945.280000001</v>
      </c>
      <c r="H15" s="302">
        <v>27091945.280000001</v>
      </c>
      <c r="I15" s="302">
        <v>0</v>
      </c>
    </row>
    <row r="16" spans="1:10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3132000</v>
      </c>
      <c r="F17" s="303">
        <v>27222288</v>
      </c>
      <c r="G17" s="26">
        <f>H17+I17</f>
        <v>27219157.32</v>
      </c>
      <c r="H17" s="302">
        <v>27219157.32</v>
      </c>
      <c r="I17" s="302">
        <v>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127212.03999999911</v>
      </c>
      <c r="H23" s="91">
        <f>H17-H15-H21</f>
        <v>127212.03999999911</v>
      </c>
      <c r="I23" s="91">
        <f>I17-I15-I21</f>
        <v>0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127212.04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25000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102212.04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75000</v>
      </c>
      <c r="G36" s="110">
        <v>71000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74416</v>
      </c>
      <c r="G37" s="110">
        <v>74416</v>
      </c>
      <c r="H37" s="305"/>
      <c r="I37" s="111">
        <f>G37/F37</f>
        <v>1</v>
      </c>
      <c r="J37" s="113"/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56416</v>
      </c>
      <c r="G39" s="110">
        <v>56416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58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85825</v>
      </c>
      <c r="F48" s="123">
        <v>15000</v>
      </c>
      <c r="G48" s="124">
        <v>22000</v>
      </c>
      <c r="H48" s="124">
        <f>E48+F48-G48</f>
        <v>78825</v>
      </c>
      <c r="I48" s="125">
        <v>4898</v>
      </c>
    </row>
    <row r="49" spans="1:9" x14ac:dyDescent="0.2">
      <c r="A49" s="126"/>
      <c r="B49" s="127"/>
      <c r="C49" s="127" t="s">
        <v>8</v>
      </c>
      <c r="D49" s="127"/>
      <c r="E49" s="128">
        <v>97367.47</v>
      </c>
      <c r="F49" s="129">
        <v>173726</v>
      </c>
      <c r="G49" s="130">
        <v>185716</v>
      </c>
      <c r="H49" s="130">
        <f>E49+F49-G49</f>
        <v>85377.469999999972</v>
      </c>
      <c r="I49" s="131">
        <v>90769.47</v>
      </c>
    </row>
    <row r="50" spans="1:9" x14ac:dyDescent="0.2">
      <c r="A50" s="126"/>
      <c r="B50" s="127"/>
      <c r="C50" s="127" t="s">
        <v>7</v>
      </c>
      <c r="D50" s="127"/>
      <c r="E50" s="128">
        <v>438847.42</v>
      </c>
      <c r="F50" s="129">
        <v>100994.05</v>
      </c>
      <c r="G50" s="130">
        <v>16248</v>
      </c>
      <c r="H50" s="130">
        <f t="shared" ref="H50:H51" si="0">E50+F50-G50</f>
        <v>523593.47</v>
      </c>
      <c r="I50" s="131">
        <v>491519.43</v>
      </c>
    </row>
    <row r="51" spans="1:9" x14ac:dyDescent="0.2">
      <c r="A51" s="126"/>
      <c r="B51" s="127"/>
      <c r="C51" s="127" t="s">
        <v>15</v>
      </c>
      <c r="D51" s="127"/>
      <c r="E51" s="128">
        <v>932681.32</v>
      </c>
      <c r="F51" s="129">
        <v>74416</v>
      </c>
      <c r="G51" s="130">
        <v>126256</v>
      </c>
      <c r="H51" s="130">
        <f t="shared" si="0"/>
        <v>880841.32</v>
      </c>
      <c r="I51" s="131">
        <v>236966.29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SUM(E48:E51)</f>
        <v>1554721.21</v>
      </c>
      <c r="F52" s="135">
        <f>F48+F49+F50+F51</f>
        <v>364136.05</v>
      </c>
      <c r="G52" s="135">
        <f>G48+G49+G50+G51</f>
        <v>350220</v>
      </c>
      <c r="H52" s="135">
        <f>H48+H49+H50+H51</f>
        <v>1568637.2599999998</v>
      </c>
      <c r="I52" s="136">
        <f>I48+I49+I50+I51</f>
        <v>824153.19000000006</v>
      </c>
    </row>
    <row r="53" spans="1:9" ht="18.75" hidden="1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hidden="1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hidden="1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ht="13.5" thickTop="1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0">
    <mergeCell ref="A2:D2"/>
    <mergeCell ref="E4:I4"/>
    <mergeCell ref="E2:I2"/>
    <mergeCell ref="E3:I3"/>
    <mergeCell ref="F45:F46"/>
    <mergeCell ref="E5:I5"/>
    <mergeCell ref="E7:I7"/>
    <mergeCell ref="A31:I33"/>
    <mergeCell ref="H43:I43"/>
    <mergeCell ref="H12:I12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workbookViewId="0">
      <selection activeCell="F42" sqref="F42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376" customWidth="1"/>
    <col min="11" max="11" width="17.28515625" style="376" customWidth="1"/>
    <col min="12" max="16384" width="9.140625" style="376"/>
  </cols>
  <sheetData>
    <row r="1" spans="1:10" ht="19.5" x14ac:dyDescent="0.4">
      <c r="A1" s="53" t="s">
        <v>26</v>
      </c>
      <c r="B1" s="54"/>
      <c r="C1" s="54"/>
      <c r="D1" s="54"/>
    </row>
    <row r="2" spans="1:10" ht="19.5" x14ac:dyDescent="0.4">
      <c r="A2" s="410" t="s">
        <v>108</v>
      </c>
      <c r="B2" s="410"/>
      <c r="C2" s="410"/>
      <c r="D2" s="410"/>
      <c r="E2" s="427" t="s">
        <v>2</v>
      </c>
      <c r="F2" s="427"/>
      <c r="G2" s="427"/>
      <c r="H2" s="427"/>
      <c r="I2" s="427"/>
      <c r="J2" s="375"/>
    </row>
    <row r="3" spans="1:10" ht="19.5" x14ac:dyDescent="0.4">
      <c r="A3" s="372"/>
      <c r="B3" s="372"/>
      <c r="C3" s="372"/>
      <c r="D3" s="372"/>
      <c r="E3" s="413"/>
      <c r="F3" s="413"/>
      <c r="G3" s="413"/>
      <c r="H3" s="413"/>
      <c r="I3" s="413"/>
    </row>
    <row r="4" spans="1:10" ht="15.75" x14ac:dyDescent="0.25">
      <c r="A4" s="59" t="s">
        <v>27</v>
      </c>
      <c r="E4" s="461"/>
      <c r="F4" s="424"/>
      <c r="G4" s="424"/>
      <c r="H4" s="424"/>
      <c r="I4" s="424"/>
    </row>
    <row r="5" spans="1:10" ht="15.75" x14ac:dyDescent="0.25">
      <c r="A5" s="59"/>
      <c r="E5" s="413"/>
      <c r="F5" s="413"/>
      <c r="G5" s="413"/>
      <c r="H5" s="413"/>
      <c r="I5" s="413"/>
    </row>
    <row r="6" spans="1:10" ht="19.5" x14ac:dyDescent="0.4">
      <c r="A6" s="60" t="s">
        <v>24</v>
      </c>
      <c r="E6" s="61"/>
      <c r="F6" s="62"/>
      <c r="G6" s="63"/>
      <c r="H6" s="64"/>
    </row>
    <row r="7" spans="1:10" ht="19.5" x14ac:dyDescent="0.4">
      <c r="A7" s="60"/>
      <c r="E7" s="413"/>
      <c r="F7" s="413"/>
      <c r="G7" s="413"/>
      <c r="H7" s="413"/>
      <c r="I7" s="413"/>
    </row>
    <row r="8" spans="1:10" ht="19.5" x14ac:dyDescent="0.4">
      <c r="A8" s="60"/>
      <c r="E8" s="65"/>
      <c r="F8" s="65"/>
      <c r="G8" s="65"/>
      <c r="H8" s="63"/>
      <c r="I8" s="65"/>
    </row>
    <row r="9" spans="1:10" x14ac:dyDescent="0.2">
      <c r="F9" s="66"/>
    </row>
    <row r="10" spans="1:10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10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10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10" ht="15" x14ac:dyDescent="0.2">
      <c r="A13" s="72"/>
      <c r="B13" s="72"/>
      <c r="C13" s="72"/>
      <c r="D13" s="72"/>
      <c r="E13" s="69"/>
      <c r="F13" s="69"/>
      <c r="G13" s="75"/>
      <c r="H13" s="373"/>
      <c r="I13" s="374"/>
    </row>
    <row r="14" spans="1:10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10" ht="19.5" x14ac:dyDescent="0.4">
      <c r="A15" s="82" t="s">
        <v>3</v>
      </c>
      <c r="B15" s="77"/>
      <c r="C15" s="78"/>
      <c r="D15" s="79"/>
      <c r="E15" s="302">
        <f>SUM('1000:1450'!E15)</f>
        <v>258387000</v>
      </c>
      <c r="F15" s="302">
        <f>SUM('1000:1450'!F15)</f>
        <v>995576452.40999997</v>
      </c>
      <c r="G15" s="302">
        <f>SUM('1000:1450'!G15)</f>
        <v>1045656621.2899997</v>
      </c>
      <c r="H15" s="302">
        <f>SUM('1000:1450'!H15)</f>
        <v>1017441599.84</v>
      </c>
      <c r="I15" s="302">
        <f>SUM('1000:1450'!I15)</f>
        <v>28215021.450000003</v>
      </c>
    </row>
    <row r="16" spans="1:10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f>SUM('1000:1450'!E17)</f>
        <v>259180000</v>
      </c>
      <c r="F17" s="302">
        <f>SUM('1000:1450'!F17)</f>
        <v>1053796723.0500001</v>
      </c>
      <c r="G17" s="302">
        <f>SUM('1000:1450'!G17)</f>
        <v>1052314204.1500002</v>
      </c>
      <c r="H17" s="302">
        <f>SUM('1000:1450'!H17)</f>
        <v>1017466269.8200001</v>
      </c>
      <c r="I17" s="302">
        <f>SUM('1000:1450'!I17)</f>
        <v>34847934.329999998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302">
        <f>SUM('1000:1450'!G21)</f>
        <v>363530</v>
      </c>
      <c r="H21" s="302">
        <f>SUM('1000:1450'!H21)</f>
        <v>44610</v>
      </c>
      <c r="I21" s="302">
        <f>SUM('1000:1450'!I21)</f>
        <v>318920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302">
        <f>SUM('1000:1450'!G23)</f>
        <v>6294052.8600000078</v>
      </c>
      <c r="H23" s="302">
        <f>SUM('1000:1450'!H23)</f>
        <v>-19940.020000003744</v>
      </c>
      <c r="I23" s="302">
        <f>SUM('1000:1450'!I23)</f>
        <v>6313992.8800000008</v>
      </c>
    </row>
    <row r="25" spans="1:9" x14ac:dyDescent="0.2">
      <c r="H25" s="92"/>
    </row>
    <row r="27" spans="1:9" ht="18.75" x14ac:dyDescent="0.4">
      <c r="A27" s="77" t="s">
        <v>5</v>
      </c>
      <c r="B27" s="77" t="s">
        <v>113</v>
      </c>
      <c r="C27" s="77"/>
      <c r="D27" s="3"/>
      <c r="E27" s="3"/>
      <c r="F27" s="72"/>
      <c r="G27" s="302">
        <f>SUM('1000:1450'!G27)</f>
        <v>6292090.4699999988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2">
        <f>SUM('1000:1450'!G28)</f>
        <v>629165.99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2">
        <f>SUM('1000:1450'!G29)</f>
        <v>4984911.6999999983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302">
        <f>SUM('1000:1450'!G30)</f>
        <v>679975.16999999993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302">
        <f>SUM('1000:1450'!F36)</f>
        <v>3134396</v>
      </c>
      <c r="G36" s="302">
        <f>SUM('1000:1450'!G36)</f>
        <v>2472722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302">
        <f>SUM('1000:1450'!F37)</f>
        <v>29966657</v>
      </c>
      <c r="G37" s="302">
        <f>SUM('1000:1450'!G37)</f>
        <v>29864054.039999999</v>
      </c>
      <c r="H37" s="305"/>
      <c r="I37" s="111">
        <f>G37/F37</f>
        <v>0.99657609589217777</v>
      </c>
      <c r="J37" s="113"/>
    </row>
    <row r="38" spans="1:10" ht="16.5" x14ac:dyDescent="0.35">
      <c r="A38" s="108" t="s">
        <v>118</v>
      </c>
      <c r="B38" s="109"/>
      <c r="C38" s="2"/>
      <c r="D38" s="112"/>
      <c r="E38" s="112"/>
      <c r="F38" s="302">
        <f>SUM('1000:1450'!F38)</f>
        <v>1148607</v>
      </c>
      <c r="G38" s="302">
        <f>SUM('1000:1450'!G38)</f>
        <v>1071583.6000000001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302">
        <f>SUM('1000:1450'!F39)</f>
        <v>22792786</v>
      </c>
      <c r="G39" s="302">
        <f>SUM('1000:1450'!G39)</f>
        <v>22792786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302">
        <f>SUM('1000:1450'!F40)</f>
        <v>1332032</v>
      </c>
      <c r="G40" s="302">
        <f>SUM('1000:1450'!G40)</f>
        <v>1332032</v>
      </c>
      <c r="H40" s="305"/>
      <c r="I40" s="114" t="s">
        <v>225</v>
      </c>
    </row>
    <row r="41" spans="1:10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375"/>
    </row>
    <row r="42" spans="1:10" ht="18" x14ac:dyDescent="0.35">
      <c r="A42" s="108"/>
      <c r="B42" s="115"/>
      <c r="C42" s="115"/>
      <c r="D42" s="81"/>
      <c r="E42" s="81"/>
      <c r="F42" s="116"/>
      <c r="G42" s="110"/>
      <c r="H42" s="94"/>
      <c r="I42" s="111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385" t="s">
        <v>6</v>
      </c>
      <c r="D48" s="381"/>
      <c r="E48" s="382">
        <f>SUM('1000:1450'!E48)</f>
        <v>2412415.69</v>
      </c>
      <c r="F48" s="382">
        <f>SUM('1000:1450'!F48)</f>
        <v>1830941.88</v>
      </c>
      <c r="G48" s="382">
        <f>SUM('1000:1450'!G48)</f>
        <v>2007914.9</v>
      </c>
      <c r="H48" s="382">
        <f>SUM('1000:1450'!H48)</f>
        <v>2235442.67</v>
      </c>
      <c r="I48" s="383">
        <f>SUM('1000:1450'!I48)</f>
        <v>2158316.5099999998</v>
      </c>
    </row>
    <row r="49" spans="1:9" x14ac:dyDescent="0.2">
      <c r="A49" s="126"/>
      <c r="B49" s="127"/>
      <c r="C49" s="127" t="s">
        <v>8</v>
      </c>
      <c r="D49" s="386"/>
      <c r="E49" s="377">
        <f>SUM('1000:1450'!E49)</f>
        <v>7400635.129999999</v>
      </c>
      <c r="F49" s="377">
        <f>SUM('1000:1450'!F49)</f>
        <v>8359126.8200000012</v>
      </c>
      <c r="G49" s="377">
        <f>SUM('1000:1450'!G49)</f>
        <v>6700799.4000000004</v>
      </c>
      <c r="H49" s="377">
        <f>SUM('1000:1450'!H49)</f>
        <v>9058962.5500000026</v>
      </c>
      <c r="I49" s="378">
        <f>SUM('1000:1450'!I49)</f>
        <v>8626139.790000001</v>
      </c>
    </row>
    <row r="50" spans="1:9" x14ac:dyDescent="0.2">
      <c r="A50" s="126"/>
      <c r="B50" s="127"/>
      <c r="C50" s="127" t="s">
        <v>7</v>
      </c>
      <c r="D50" s="386"/>
      <c r="E50" s="377">
        <f>SUM('1000:1450'!E50)</f>
        <v>11394530.590000002</v>
      </c>
      <c r="F50" s="377">
        <f>SUM('1000:1450'!F50)</f>
        <v>24735387.560000002</v>
      </c>
      <c r="G50" s="377">
        <f>SUM('1000:1450'!G50)</f>
        <v>15581133.92</v>
      </c>
      <c r="H50" s="377">
        <f>SUM('1000:1450'!H50)</f>
        <v>20548784.229999993</v>
      </c>
      <c r="I50" s="378">
        <f>SUM('1000:1450'!I50)</f>
        <v>19336101.259999998</v>
      </c>
    </row>
    <row r="51" spans="1:9" x14ac:dyDescent="0.2">
      <c r="A51" s="126"/>
      <c r="B51" s="127"/>
      <c r="C51" s="127" t="s">
        <v>15</v>
      </c>
      <c r="D51" s="386"/>
      <c r="E51" s="377">
        <f>SUM('1000:1450'!E51)</f>
        <v>17818080.090000004</v>
      </c>
      <c r="F51" s="377">
        <f>SUM('1000:1450'!F51)</f>
        <v>40344095.539999999</v>
      </c>
      <c r="G51" s="377">
        <f>SUM('1000:1450'!G51)</f>
        <v>35977093.960000001</v>
      </c>
      <c r="H51" s="377">
        <f>SUM('1000:1450'!H51)</f>
        <v>22185081.670000002</v>
      </c>
      <c r="I51" s="378">
        <f>SUM('1000:1450'!I51)</f>
        <v>21016349.450000003</v>
      </c>
    </row>
    <row r="52" spans="1:9" ht="18.75" thickBot="1" x14ac:dyDescent="0.4">
      <c r="A52" s="384" t="s">
        <v>2</v>
      </c>
      <c r="B52" s="387"/>
      <c r="C52" s="387"/>
      <c r="D52" s="388"/>
      <c r="E52" s="379">
        <f>SUM('1000:1450'!E52)</f>
        <v>24096598.610000003</v>
      </c>
      <c r="F52" s="379">
        <f>SUM('1000:1450'!F52)</f>
        <v>41562121.939999998</v>
      </c>
      <c r="G52" s="379">
        <f>SUM('1000:1450'!G52)</f>
        <v>33223261.349999998</v>
      </c>
      <c r="H52" s="379">
        <f>SUM('1000:1450'!H52)</f>
        <v>32435459.200000003</v>
      </c>
      <c r="I52" s="380">
        <f>SUM('1000:1450'!I52)</f>
        <v>29949362.820000004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0">
    <mergeCell ref="H12:I12"/>
    <mergeCell ref="A31:I33"/>
    <mergeCell ref="H43:I43"/>
    <mergeCell ref="F45:F46"/>
    <mergeCell ref="A2:D2"/>
    <mergeCell ref="E2:I2"/>
    <mergeCell ref="E3:I3"/>
    <mergeCell ref="E4:I4"/>
    <mergeCell ref="E5:I5"/>
    <mergeCell ref="E7:I7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59999389629810485"/>
  </sheetPr>
  <dimension ref="A1:J56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11" t="s">
        <v>267</v>
      </c>
      <c r="F2" s="412"/>
      <c r="G2" s="412"/>
      <c r="H2" s="412"/>
      <c r="I2" s="412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6.5" customHeight="1" x14ac:dyDescent="0.25">
      <c r="A4" s="59" t="s">
        <v>27</v>
      </c>
      <c r="E4" s="414" t="s">
        <v>140</v>
      </c>
      <c r="F4" s="414"/>
      <c r="G4" s="414"/>
      <c r="H4" s="414"/>
      <c r="I4" s="41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141</v>
      </c>
      <c r="F6" s="62"/>
      <c r="G6" s="63" t="s">
        <v>39</v>
      </c>
      <c r="H6" s="64">
        <v>1012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39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6330000</v>
      </c>
      <c r="F15" s="303">
        <v>32384854.260000002</v>
      </c>
      <c r="G15" s="26">
        <f>H15+I15</f>
        <v>32448997.41</v>
      </c>
      <c r="H15" s="302">
        <v>31779541.780000001</v>
      </c>
      <c r="I15" s="302">
        <v>669455.63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6380000</v>
      </c>
      <c r="F17" s="303">
        <v>32450097.68</v>
      </c>
      <c r="G17" s="26">
        <f>H17+I17</f>
        <v>32484392.509999998</v>
      </c>
      <c r="H17" s="302">
        <v>31593358.68</v>
      </c>
      <c r="I17" s="302">
        <v>891033.83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35395.099999997765</v>
      </c>
      <c r="H23" s="91">
        <f>H17-H15-H21</f>
        <v>-186183.10000000149</v>
      </c>
      <c r="I23" s="91">
        <f>I17-I15-I21</f>
        <v>221578.19999999995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35395.1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10000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25395.1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1095766</v>
      </c>
      <c r="G37" s="110">
        <v>1089236</v>
      </c>
      <c r="H37" s="305"/>
      <c r="I37" s="111">
        <f>G37/F37</f>
        <v>0.99404069847029386</v>
      </c>
      <c r="J37" s="157"/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828766</v>
      </c>
      <c r="G39" s="110">
        <v>828766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0">
        <v>100000</v>
      </c>
      <c r="G40" s="110">
        <v>100000</v>
      </c>
      <c r="H40" s="305"/>
      <c r="I40" s="114" t="s">
        <v>225</v>
      </c>
    </row>
    <row r="41" spans="1:10" ht="18" x14ac:dyDescent="0.35">
      <c r="A41" s="368" t="s">
        <v>305</v>
      </c>
      <c r="B41" s="151"/>
      <c r="C41" s="151"/>
      <c r="D41" s="152"/>
      <c r="E41" s="152"/>
      <c r="F41" s="153"/>
      <c r="G41" s="154"/>
      <c r="H41" s="94"/>
      <c r="I41" s="155"/>
      <c r="J41" s="58"/>
    </row>
    <row r="42" spans="1:10" ht="19.5" thickBot="1" x14ac:dyDescent="0.45">
      <c r="A42" s="77" t="s">
        <v>11</v>
      </c>
      <c r="B42" s="77" t="s">
        <v>12</v>
      </c>
      <c r="C42" s="79"/>
      <c r="D42" s="81"/>
      <c r="E42" s="81"/>
      <c r="F42" s="118"/>
      <c r="G42" s="119"/>
      <c r="H42" s="419" t="s">
        <v>119</v>
      </c>
      <c r="I42" s="420"/>
    </row>
    <row r="43" spans="1:10" ht="18.75" thickTop="1" x14ac:dyDescent="0.35">
      <c r="A43" s="281"/>
      <c r="B43" s="282"/>
      <c r="C43" s="283"/>
      <c r="D43" s="282"/>
      <c r="E43" s="284" t="s">
        <v>288</v>
      </c>
      <c r="F43" s="285" t="s">
        <v>9</v>
      </c>
      <c r="G43" s="286" t="s">
        <v>10</v>
      </c>
      <c r="H43" s="287" t="s">
        <v>13</v>
      </c>
      <c r="I43" s="288" t="s">
        <v>120</v>
      </c>
    </row>
    <row r="44" spans="1:10" x14ac:dyDescent="0.2">
      <c r="A44" s="289"/>
      <c r="B44" s="290"/>
      <c r="C44" s="290"/>
      <c r="D44" s="290"/>
      <c r="E44" s="289"/>
      <c r="F44" s="415"/>
      <c r="G44" s="291"/>
      <c r="H44" s="292">
        <v>41274</v>
      </c>
      <c r="I44" s="293">
        <v>41274</v>
      </c>
    </row>
    <row r="45" spans="1:10" x14ac:dyDescent="0.2">
      <c r="A45" s="289"/>
      <c r="B45" s="290"/>
      <c r="C45" s="290"/>
      <c r="D45" s="290"/>
      <c r="E45" s="289"/>
      <c r="F45" s="415"/>
      <c r="G45" s="294"/>
      <c r="H45" s="294"/>
      <c r="I45" s="295"/>
    </row>
    <row r="46" spans="1:10" ht="13.5" thickBot="1" x14ac:dyDescent="0.25">
      <c r="A46" s="296"/>
      <c r="B46" s="297"/>
      <c r="C46" s="297"/>
      <c r="D46" s="297"/>
      <c r="E46" s="296"/>
      <c r="F46" s="298"/>
      <c r="G46" s="299"/>
      <c r="H46" s="299"/>
      <c r="I46" s="300"/>
    </row>
    <row r="47" spans="1:10" ht="13.5" thickTop="1" x14ac:dyDescent="0.2">
      <c r="A47" s="120"/>
      <c r="B47" s="121"/>
      <c r="C47" s="121" t="s">
        <v>6</v>
      </c>
      <c r="D47" s="121"/>
      <c r="E47" s="122">
        <v>6000</v>
      </c>
      <c r="F47" s="123">
        <v>15000</v>
      </c>
      <c r="G47" s="124">
        <v>7400</v>
      </c>
      <c r="H47" s="124">
        <f>E47+F47-G47</f>
        <v>13600</v>
      </c>
      <c r="I47" s="125">
        <f>H47</f>
        <v>13600</v>
      </c>
    </row>
    <row r="48" spans="1:10" x14ac:dyDescent="0.2">
      <c r="A48" s="126"/>
      <c r="B48" s="127"/>
      <c r="C48" s="127" t="s">
        <v>8</v>
      </c>
      <c r="D48" s="127"/>
      <c r="E48" s="128">
        <v>293461.88</v>
      </c>
      <c r="F48" s="129">
        <v>185403</v>
      </c>
      <c r="G48" s="130">
        <v>183711</v>
      </c>
      <c r="H48" s="130">
        <f>E48+F48-G48</f>
        <v>295153.88</v>
      </c>
      <c r="I48" s="131">
        <v>272223.88</v>
      </c>
    </row>
    <row r="49" spans="1:9" x14ac:dyDescent="0.2">
      <c r="A49" s="126"/>
      <c r="B49" s="127"/>
      <c r="C49" s="127" t="s">
        <v>7</v>
      </c>
      <c r="D49" s="127"/>
      <c r="E49" s="128">
        <v>287288.15000000002</v>
      </c>
      <c r="F49" s="129">
        <f>80317.4+175259.3</f>
        <v>255576.69999999998</v>
      </c>
      <c r="G49" s="130">
        <f>21153.28+264125.6</f>
        <v>285278.88</v>
      </c>
      <c r="H49" s="130">
        <f t="shared" ref="H49:H50" si="0">E49+F49-G49</f>
        <v>257585.96999999997</v>
      </c>
      <c r="I49" s="131">
        <f>H49</f>
        <v>257585.96999999997</v>
      </c>
    </row>
    <row r="50" spans="1:9" x14ac:dyDescent="0.2">
      <c r="A50" s="126"/>
      <c r="B50" s="127"/>
      <c r="C50" s="127" t="s">
        <v>15</v>
      </c>
      <c r="D50" s="127"/>
      <c r="E50" s="128">
        <v>107710.29</v>
      </c>
      <c r="F50" s="129">
        <v>1204915</v>
      </c>
      <c r="G50" s="130">
        <v>1160953</v>
      </c>
      <c r="H50" s="130">
        <f t="shared" si="0"/>
        <v>151672.29000000004</v>
      </c>
      <c r="I50" s="131">
        <f>H50</f>
        <v>151672.29000000004</v>
      </c>
    </row>
    <row r="51" spans="1:9" ht="18.75" thickBot="1" x14ac:dyDescent="0.4">
      <c r="A51" s="132" t="s">
        <v>2</v>
      </c>
      <c r="B51" s="133"/>
      <c r="C51" s="133"/>
      <c r="D51" s="133"/>
      <c r="E51" s="134">
        <f>E47+E48+E49+E50</f>
        <v>694460.32000000007</v>
      </c>
      <c r="F51" s="135">
        <f>F47+F48+F49+F50</f>
        <v>1660894.7</v>
      </c>
      <c r="G51" s="135">
        <f>G47+G48+G49+G50</f>
        <v>1637342.88</v>
      </c>
      <c r="H51" s="135">
        <f>H47+H48+H49+H50</f>
        <v>718012.14</v>
      </c>
      <c r="I51" s="136">
        <f>I47+I48+I49+I50</f>
        <v>695082.14</v>
      </c>
    </row>
    <row r="52" spans="1:9" ht="18.75" thickTop="1" x14ac:dyDescent="0.35">
      <c r="A52" s="137"/>
      <c r="B52" s="115"/>
      <c r="C52" s="115"/>
      <c r="D52" s="81"/>
      <c r="E52" s="81"/>
      <c r="F52" s="118"/>
      <c r="G52" s="119"/>
      <c r="H52" s="138"/>
      <c r="I52" s="138"/>
    </row>
    <row r="53" spans="1:9" ht="18" hidden="1" x14ac:dyDescent="0.35">
      <c r="A53" s="137"/>
      <c r="B53" s="115"/>
      <c r="C53" s="115"/>
      <c r="D53" s="81"/>
      <c r="E53" s="81"/>
      <c r="F53" s="118"/>
      <c r="G53" s="139"/>
      <c r="H53" s="140"/>
      <c r="I53" s="140"/>
    </row>
    <row r="54" spans="1:9" ht="18" hidden="1" x14ac:dyDescent="0.35">
      <c r="A54" s="141"/>
      <c r="B54" s="142"/>
      <c r="C54" s="142"/>
      <c r="D54" s="143"/>
      <c r="E54" s="143"/>
      <c r="F54" s="140"/>
      <c r="G54" s="140"/>
      <c r="H54" s="140"/>
      <c r="I54" s="140"/>
    </row>
    <row r="55" spans="1:9" hidden="1" x14ac:dyDescent="0.2">
      <c r="A55" s="144"/>
      <c r="B55" s="144"/>
      <c r="C55" s="144"/>
      <c r="D55" s="144"/>
      <c r="E55" s="144"/>
      <c r="F55" s="144"/>
      <c r="G55" s="144"/>
      <c r="H55" s="144"/>
      <c r="I55" s="144"/>
    </row>
    <row r="56" spans="1:9" hidden="1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</sheetData>
  <mergeCells count="10">
    <mergeCell ref="A2:D2"/>
    <mergeCell ref="E2:I2"/>
    <mergeCell ref="E4:I4"/>
    <mergeCell ref="E3:I3"/>
    <mergeCell ref="F44:F45"/>
    <mergeCell ref="E5:I5"/>
    <mergeCell ref="E7:I7"/>
    <mergeCell ref="H12:I12"/>
    <mergeCell ref="A31:I33"/>
    <mergeCell ref="H42:I42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28515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295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8" t="s">
        <v>296</v>
      </c>
      <c r="F4" s="414"/>
      <c r="G4" s="414"/>
      <c r="H4" s="414"/>
      <c r="I4" s="41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142</v>
      </c>
      <c r="F6" s="62"/>
      <c r="G6" s="63" t="s">
        <v>39</v>
      </c>
      <c r="H6" s="64">
        <v>1013</v>
      </c>
    </row>
    <row r="7" spans="1:9" ht="9.7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31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3055000</v>
      </c>
      <c r="F15" s="303">
        <v>17470334</v>
      </c>
      <c r="G15" s="26">
        <f>H15+I15</f>
        <v>17484490.640000001</v>
      </c>
      <c r="H15" s="302">
        <v>17316287.890000001</v>
      </c>
      <c r="I15" s="302">
        <v>168202.75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3055000</v>
      </c>
      <c r="F17" s="303">
        <v>17704002.800000001</v>
      </c>
      <c r="G17" s="26">
        <f>H17+I17</f>
        <v>17711617.469999999</v>
      </c>
      <c r="H17" s="302">
        <v>17509133.469999999</v>
      </c>
      <c r="I17" s="302">
        <v>202484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227126.82999999821</v>
      </c>
      <c r="H23" s="91">
        <f>H17-H15-H21</f>
        <v>192845.57999999821</v>
      </c>
      <c r="I23" s="91">
        <f>I17-I15-I21</f>
        <v>34281.25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227126.83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207126.83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1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251600</v>
      </c>
      <c r="G37" s="110">
        <v>252458.84</v>
      </c>
      <c r="H37" s="305"/>
      <c r="I37" s="111">
        <f>G37/F37</f>
        <v>1.0034135135135136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190600</v>
      </c>
      <c r="G39" s="110">
        <v>190600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5" customHeight="1" x14ac:dyDescent="0.2">
      <c r="A41" s="429" t="s">
        <v>297</v>
      </c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ht="15" customHeight="1" x14ac:dyDescent="0.2">
      <c r="A42" s="367" t="s">
        <v>319</v>
      </c>
      <c r="B42" s="117"/>
      <c r="C42" s="117"/>
      <c r="D42" s="117"/>
      <c r="E42" s="117"/>
      <c r="F42" s="117"/>
      <c r="G42" s="117"/>
      <c r="H42" s="117"/>
      <c r="I42" s="117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45906</v>
      </c>
      <c r="F48" s="123">
        <v>16000</v>
      </c>
      <c r="G48" s="124">
        <v>2000</v>
      </c>
      <c r="H48" s="124">
        <f>E48+F48-G48</f>
        <v>59906</v>
      </c>
      <c r="I48" s="125">
        <f>H48</f>
        <v>59906</v>
      </c>
    </row>
    <row r="49" spans="1:9" x14ac:dyDescent="0.2">
      <c r="A49" s="126"/>
      <c r="B49" s="127"/>
      <c r="C49" s="127" t="s">
        <v>8</v>
      </c>
      <c r="D49" s="127"/>
      <c r="E49" s="128">
        <v>323312.59999999998</v>
      </c>
      <c r="F49" s="129">
        <v>96511</v>
      </c>
      <c r="G49" s="130">
        <v>110333</v>
      </c>
      <c r="H49" s="130">
        <f>E49+F49-G49</f>
        <v>309490.59999999998</v>
      </c>
      <c r="I49" s="131">
        <v>304643.05</v>
      </c>
    </row>
    <row r="50" spans="1:9" x14ac:dyDescent="0.2">
      <c r="A50" s="126"/>
      <c r="B50" s="127"/>
      <c r="C50" s="127" t="s">
        <v>7</v>
      </c>
      <c r="D50" s="127"/>
      <c r="E50" s="128">
        <v>416325.63</v>
      </c>
      <c r="F50" s="129">
        <f>64350.15+49581.6</f>
        <v>113931.75</v>
      </c>
      <c r="G50" s="130">
        <v>0</v>
      </c>
      <c r="H50" s="130">
        <f t="shared" ref="H50:H51" si="0">E50+F50-G50</f>
        <v>530257.38</v>
      </c>
      <c r="I50" s="131">
        <f>H50</f>
        <v>530257.38</v>
      </c>
    </row>
    <row r="51" spans="1:9" x14ac:dyDescent="0.2">
      <c r="A51" s="126"/>
      <c r="B51" s="127"/>
      <c r="C51" s="127" t="s">
        <v>15</v>
      </c>
      <c r="D51" s="127"/>
      <c r="E51" s="128">
        <v>210734.68</v>
      </c>
      <c r="F51" s="129">
        <v>558918</v>
      </c>
      <c r="G51" s="130">
        <v>677155</v>
      </c>
      <c r="H51" s="130">
        <f t="shared" si="0"/>
        <v>92497.679999999935</v>
      </c>
      <c r="I51" s="131">
        <f>H51</f>
        <v>92497.679999999935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996278.90999999992</v>
      </c>
      <c r="F52" s="135">
        <f>F48+F49+F50+F51</f>
        <v>785360.75</v>
      </c>
      <c r="G52" s="135">
        <f>G48+G49+G50+G51</f>
        <v>789488</v>
      </c>
      <c r="H52" s="135">
        <f>H48+H49+H50+H51</f>
        <v>992151.65999999992</v>
      </c>
      <c r="I52" s="136">
        <f>I48+I49+I50+I51</f>
        <v>987304.10999999987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42578125" style="55" customWidth="1"/>
    <col min="10" max="10" width="18.85546875" style="56" customWidth="1"/>
    <col min="11" max="11" width="15.425781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11" t="s">
        <v>125</v>
      </c>
      <c r="F2" s="412"/>
      <c r="G2" s="412"/>
      <c r="H2" s="412"/>
      <c r="I2" s="412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143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>
        <v>70863598</v>
      </c>
      <c r="F6" s="62"/>
      <c r="G6" s="63" t="s">
        <v>39</v>
      </c>
      <c r="H6" s="64">
        <v>1014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.75" customHeight="1" x14ac:dyDescent="0.4">
      <c r="A8" s="60"/>
      <c r="E8" s="65"/>
      <c r="F8" s="65"/>
      <c r="G8" s="65"/>
      <c r="H8" s="63"/>
      <c r="I8" s="65"/>
    </row>
    <row r="9" spans="1:9" ht="31.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3554000</v>
      </c>
      <c r="F15" s="303">
        <v>25644447.710000001</v>
      </c>
      <c r="G15" s="26">
        <f>H15+I15</f>
        <v>25575690.710000001</v>
      </c>
      <c r="H15" s="302">
        <v>25547321.710000001</v>
      </c>
      <c r="I15" s="302">
        <v>28369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3593000</v>
      </c>
      <c r="F17" s="303">
        <v>26091652.93</v>
      </c>
      <c r="G17" s="26">
        <f>H17+I17</f>
        <v>25700610.100000001</v>
      </c>
      <c r="H17" s="302">
        <v>25569070.100000001</v>
      </c>
      <c r="I17" s="302">
        <v>131540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124919.3900000006</v>
      </c>
      <c r="H23" s="91">
        <f>H17-H15-H21</f>
        <v>21748.390000000596</v>
      </c>
      <c r="I23" s="91">
        <f>I17-I15-I21</f>
        <v>103171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124919.39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20000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104919.39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0</v>
      </c>
      <c r="G36" s="110">
        <v>0</v>
      </c>
      <c r="H36" s="305"/>
      <c r="I36" s="114" t="s">
        <v>225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34000</v>
      </c>
      <c r="G37" s="110">
        <v>34356</v>
      </c>
      <c r="H37" s="305"/>
      <c r="I37" s="111">
        <f>G37/F37</f>
        <v>1.010470588235294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26000</v>
      </c>
      <c r="G39" s="110">
        <v>26000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16">
        <v>0</v>
      </c>
      <c r="G40" s="110">
        <v>0</v>
      </c>
      <c r="H40" s="305"/>
      <c r="I40" s="114" t="s">
        <v>225</v>
      </c>
    </row>
    <row r="41" spans="1:10" ht="15" customHeight="1" x14ac:dyDescent="0.2">
      <c r="A41" s="429" t="s">
        <v>282</v>
      </c>
      <c r="B41" s="423"/>
      <c r="C41" s="423"/>
      <c r="D41" s="423"/>
      <c r="E41" s="423"/>
      <c r="F41" s="423"/>
      <c r="G41" s="423"/>
      <c r="H41" s="423"/>
      <c r="I41" s="423"/>
      <c r="J41" s="117"/>
    </row>
    <row r="42" spans="1:10" x14ac:dyDescent="0.2">
      <c r="A42" s="108"/>
      <c r="B42" s="117"/>
      <c r="C42" s="117"/>
      <c r="D42" s="117"/>
      <c r="E42" s="117"/>
      <c r="F42" s="117"/>
      <c r="G42" s="117"/>
      <c r="H42" s="117"/>
      <c r="I42" s="117"/>
      <c r="J42" s="117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122">
        <v>39103</v>
      </c>
      <c r="F48" s="123">
        <v>24000</v>
      </c>
      <c r="G48" s="124">
        <v>4000</v>
      </c>
      <c r="H48" s="124">
        <f>E48+F48-G48</f>
        <v>59103</v>
      </c>
      <c r="I48" s="125">
        <f>H48</f>
        <v>59103</v>
      </c>
    </row>
    <row r="49" spans="1:9" x14ac:dyDescent="0.2">
      <c r="A49" s="126"/>
      <c r="B49" s="127"/>
      <c r="C49" s="127" t="s">
        <v>8</v>
      </c>
      <c r="D49" s="127"/>
      <c r="E49" s="128">
        <v>82284.5</v>
      </c>
      <c r="F49" s="129">
        <v>150499</v>
      </c>
      <c r="G49" s="130">
        <v>138004</v>
      </c>
      <c r="H49" s="130">
        <f>E49+F49-G49</f>
        <v>94779.5</v>
      </c>
      <c r="I49" s="131">
        <v>84210.15</v>
      </c>
    </row>
    <row r="50" spans="1:9" x14ac:dyDescent="0.2">
      <c r="A50" s="126"/>
      <c r="B50" s="127"/>
      <c r="C50" s="127" t="s">
        <v>7</v>
      </c>
      <c r="D50" s="127"/>
      <c r="E50" s="128">
        <v>364102.93</v>
      </c>
      <c r="F50" s="129">
        <f>201494.53+566208.8</f>
        <v>767703.33000000007</v>
      </c>
      <c r="G50" s="130">
        <f>357+6085.2</f>
        <v>6442.2</v>
      </c>
      <c r="H50" s="130">
        <f t="shared" ref="H50:H51" si="0">E50+F50-G50</f>
        <v>1125364.06</v>
      </c>
      <c r="I50" s="131">
        <f>H50</f>
        <v>1125364.06</v>
      </c>
    </row>
    <row r="51" spans="1:9" x14ac:dyDescent="0.2">
      <c r="A51" s="126"/>
      <c r="B51" s="127"/>
      <c r="C51" s="127" t="s">
        <v>15</v>
      </c>
      <c r="D51" s="127"/>
      <c r="E51" s="128">
        <v>43305.43</v>
      </c>
      <c r="F51" s="129">
        <v>34356</v>
      </c>
      <c r="G51" s="130">
        <v>26000</v>
      </c>
      <c r="H51" s="130">
        <f t="shared" si="0"/>
        <v>51661.429999999993</v>
      </c>
      <c r="I51" s="131">
        <f>H51</f>
        <v>51661.429999999993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528795.86</v>
      </c>
      <c r="F52" s="135">
        <f>F48+F49+F50+F51</f>
        <v>976558.33000000007</v>
      </c>
      <c r="G52" s="135">
        <f>G48+G49+G50+G51</f>
        <v>174446.2</v>
      </c>
      <c r="H52" s="135">
        <f>H48+H49+H50+H51</f>
        <v>1330907.99</v>
      </c>
      <c r="I52" s="136">
        <f>I48+I49+I50+I51</f>
        <v>1320338.6399999999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59999389629810485"/>
  </sheetPr>
  <dimension ref="A1:J57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7.2851562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25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144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145</v>
      </c>
      <c r="F6" s="62"/>
      <c r="G6" s="63" t="s">
        <v>39</v>
      </c>
      <c r="H6" s="64">
        <v>1015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4.5" customHeight="1" x14ac:dyDescent="0.4">
      <c r="A8" s="60"/>
      <c r="E8" s="65"/>
      <c r="F8" s="65"/>
      <c r="G8" s="65"/>
      <c r="H8" s="63"/>
      <c r="I8" s="65"/>
    </row>
    <row r="9" spans="1:9" ht="30.7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4187000</v>
      </c>
      <c r="F15" s="303">
        <v>4542000</v>
      </c>
      <c r="G15" s="26">
        <f>H15+I15</f>
        <v>23579130.870000001</v>
      </c>
      <c r="H15" s="302">
        <v>23520629.41</v>
      </c>
      <c r="I15" s="302">
        <v>58501.46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4188000</v>
      </c>
      <c r="F17" s="303">
        <v>24403622</v>
      </c>
      <c r="G17" s="26">
        <f>H17+I17</f>
        <v>23616939.68</v>
      </c>
      <c r="H17" s="302">
        <v>23556961.68</v>
      </c>
      <c r="I17" s="302">
        <v>59978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2.5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37808.809999998659</v>
      </c>
      <c r="H23" s="91">
        <f>H17-H15-H21</f>
        <v>36332.269999999553</v>
      </c>
      <c r="I23" s="91">
        <f>I17-I15-I21</f>
        <v>1476.5400000000009</v>
      </c>
    </row>
    <row r="25" spans="1:9" x14ac:dyDescent="0.2">
      <c r="H25" s="92"/>
    </row>
    <row r="27" spans="1:9" ht="19.5" x14ac:dyDescent="0.4">
      <c r="A27" s="77" t="s">
        <v>5</v>
      </c>
      <c r="B27" s="77" t="s">
        <v>113</v>
      </c>
      <c r="C27" s="77"/>
      <c r="D27" s="3"/>
      <c r="E27" s="3"/>
      <c r="F27" s="72"/>
      <c r="G27" s="93">
        <f>SUM(G28:G30)</f>
        <v>37808.81</v>
      </c>
      <c r="H27" s="94"/>
      <c r="I27" s="95"/>
    </row>
    <row r="28" spans="1:9" ht="18.75" x14ac:dyDescent="0.4">
      <c r="A28" s="96"/>
      <c r="B28" s="96"/>
      <c r="C28" s="97" t="s">
        <v>28</v>
      </c>
      <c r="D28" s="98"/>
      <c r="E28" s="99"/>
      <c r="F28" s="92" t="s">
        <v>6</v>
      </c>
      <c r="G28" s="30">
        <v>3781</v>
      </c>
      <c r="H28" s="94"/>
      <c r="I28" s="95"/>
    </row>
    <row r="29" spans="1:9" ht="18.75" x14ac:dyDescent="0.4">
      <c r="A29" s="96"/>
      <c r="B29" s="96"/>
      <c r="C29" s="97"/>
      <c r="D29" s="98"/>
      <c r="E29" s="99"/>
      <c r="F29" s="92" t="s">
        <v>7</v>
      </c>
      <c r="G29" s="30">
        <v>34027.81</v>
      </c>
      <c r="H29" s="94"/>
      <c r="I29" s="95"/>
    </row>
    <row r="30" spans="1:9" ht="18.75" x14ac:dyDescent="0.4">
      <c r="A30" s="96"/>
      <c r="B30" s="96"/>
      <c r="C30" s="97" t="s">
        <v>29</v>
      </c>
      <c r="D30" s="98"/>
      <c r="E30" s="99"/>
      <c r="F30" s="92" t="s">
        <v>223</v>
      </c>
      <c r="G30" s="100">
        <v>0</v>
      </c>
      <c r="H30" s="101"/>
      <c r="I30" s="95"/>
    </row>
    <row r="31" spans="1:9" x14ac:dyDescent="0.2">
      <c r="A31" s="421"/>
      <c r="B31" s="422"/>
      <c r="C31" s="422"/>
      <c r="D31" s="422"/>
      <c r="E31" s="422"/>
      <c r="F31" s="422"/>
      <c r="G31" s="422"/>
      <c r="H31" s="422"/>
      <c r="I31" s="422"/>
    </row>
    <row r="32" spans="1:9" x14ac:dyDescent="0.2">
      <c r="A32" s="422"/>
      <c r="B32" s="422"/>
      <c r="C32" s="422"/>
      <c r="D32" s="422"/>
      <c r="E32" s="422"/>
      <c r="F32" s="422"/>
      <c r="G32" s="422"/>
      <c r="H32" s="422"/>
      <c r="I32" s="422"/>
    </row>
    <row r="33" spans="1:10" x14ac:dyDescent="0.2">
      <c r="A33" s="422"/>
      <c r="B33" s="422"/>
      <c r="C33" s="422"/>
      <c r="D33" s="422"/>
      <c r="E33" s="422"/>
      <c r="F33" s="422"/>
      <c r="G33" s="422"/>
      <c r="H33" s="422"/>
      <c r="I33" s="422"/>
    </row>
    <row r="34" spans="1:10" ht="19.5" x14ac:dyDescent="0.4">
      <c r="A34" s="77" t="s">
        <v>30</v>
      </c>
      <c r="B34" s="77" t="s">
        <v>31</v>
      </c>
      <c r="C34" s="77"/>
      <c r="D34" s="103"/>
      <c r="E34" s="81"/>
      <c r="F34" s="3"/>
      <c r="G34" s="104"/>
      <c r="H34" s="95"/>
      <c r="I34" s="95"/>
    </row>
    <row r="35" spans="1:10" ht="18.75" x14ac:dyDescent="0.4">
      <c r="A35" s="77"/>
      <c r="B35" s="77"/>
      <c r="C35" s="77"/>
      <c r="D35" s="103"/>
      <c r="F35" s="105" t="s">
        <v>115</v>
      </c>
      <c r="G35" s="106" t="s">
        <v>0</v>
      </c>
      <c r="H35" s="72"/>
      <c r="I35" s="107" t="s">
        <v>116</v>
      </c>
    </row>
    <row r="36" spans="1:10" ht="16.5" x14ac:dyDescent="0.35">
      <c r="A36" s="108" t="s">
        <v>32</v>
      </c>
      <c r="B36" s="109"/>
      <c r="C36" s="2"/>
      <c r="D36" s="109"/>
      <c r="E36" s="81"/>
      <c r="F36" s="110">
        <v>62000</v>
      </c>
      <c r="G36" s="110">
        <v>58338</v>
      </c>
      <c r="H36" s="305"/>
      <c r="I36" s="111">
        <f>G36/F36</f>
        <v>0.9409354838709677</v>
      </c>
    </row>
    <row r="37" spans="1:10" ht="16.5" x14ac:dyDescent="0.35">
      <c r="A37" s="108" t="s">
        <v>117</v>
      </c>
      <c r="B37" s="109"/>
      <c r="C37" s="2"/>
      <c r="D37" s="112"/>
      <c r="E37" s="112"/>
      <c r="F37" s="110">
        <v>125000</v>
      </c>
      <c r="G37" s="110">
        <v>125000</v>
      </c>
      <c r="H37" s="305"/>
      <c r="I37" s="111">
        <f>G37/F37</f>
        <v>1</v>
      </c>
    </row>
    <row r="38" spans="1:10" ht="16.5" x14ac:dyDescent="0.35">
      <c r="A38" s="108" t="s">
        <v>118</v>
      </c>
      <c r="B38" s="109"/>
      <c r="C38" s="2"/>
      <c r="D38" s="112"/>
      <c r="E38" s="112"/>
      <c r="F38" s="110">
        <v>0</v>
      </c>
      <c r="G38" s="110">
        <v>0</v>
      </c>
      <c r="H38" s="305"/>
      <c r="I38" s="114" t="s">
        <v>225</v>
      </c>
    </row>
    <row r="39" spans="1:10" ht="16.5" x14ac:dyDescent="0.35">
      <c r="A39" s="108" t="s">
        <v>220</v>
      </c>
      <c r="B39" s="109"/>
      <c r="C39" s="2"/>
      <c r="D39" s="81"/>
      <c r="E39" s="81"/>
      <c r="F39" s="110">
        <v>94250</v>
      </c>
      <c r="G39" s="110">
        <v>94250</v>
      </c>
      <c r="H39" s="305"/>
      <c r="I39" s="111">
        <f>G39/F39</f>
        <v>1</v>
      </c>
    </row>
    <row r="40" spans="1:10" ht="18" x14ac:dyDescent="0.35">
      <c r="A40" s="108" t="s">
        <v>221</v>
      </c>
      <c r="B40" s="115"/>
      <c r="C40" s="115"/>
      <c r="D40" s="81"/>
      <c r="E40" s="81"/>
      <c r="F40" s="158">
        <v>50000</v>
      </c>
      <c r="G40" s="110">
        <v>50000</v>
      </c>
      <c r="H40" s="305"/>
      <c r="I40" s="114" t="s">
        <v>225</v>
      </c>
    </row>
    <row r="41" spans="1:10" x14ac:dyDescent="0.2">
      <c r="A41" s="429"/>
      <c r="B41" s="423"/>
      <c r="C41" s="423"/>
      <c r="D41" s="423"/>
      <c r="E41" s="423"/>
      <c r="F41" s="423"/>
      <c r="G41" s="423"/>
      <c r="H41" s="423"/>
      <c r="I41" s="423"/>
      <c r="J41" s="58"/>
    </row>
    <row r="42" spans="1:10" x14ac:dyDescent="0.2">
      <c r="A42" s="247"/>
      <c r="B42" s="247"/>
      <c r="C42" s="247"/>
      <c r="D42" s="247"/>
      <c r="E42" s="247"/>
      <c r="F42" s="247"/>
      <c r="G42" s="247"/>
      <c r="H42" s="247"/>
      <c r="I42" s="247"/>
      <c r="J42" s="58"/>
    </row>
    <row r="43" spans="1:10" ht="19.5" thickBot="1" x14ac:dyDescent="0.45">
      <c r="A43" s="77" t="s">
        <v>11</v>
      </c>
      <c r="B43" s="77" t="s">
        <v>12</v>
      </c>
      <c r="C43" s="79"/>
      <c r="D43" s="81"/>
      <c r="E43" s="81"/>
      <c r="F43" s="118"/>
      <c r="G43" s="119"/>
      <c r="H43" s="419" t="s">
        <v>119</v>
      </c>
      <c r="I43" s="420"/>
    </row>
    <row r="44" spans="1:10" ht="18.75" thickTop="1" x14ac:dyDescent="0.35">
      <c r="A44" s="281"/>
      <c r="B44" s="282"/>
      <c r="C44" s="283"/>
      <c r="D44" s="282"/>
      <c r="E44" s="284" t="s">
        <v>288</v>
      </c>
      <c r="F44" s="285" t="s">
        <v>9</v>
      </c>
      <c r="G44" s="286" t="s">
        <v>10</v>
      </c>
      <c r="H44" s="287" t="s">
        <v>13</v>
      </c>
      <c r="I44" s="288" t="s">
        <v>120</v>
      </c>
    </row>
    <row r="45" spans="1:10" x14ac:dyDescent="0.2">
      <c r="A45" s="289"/>
      <c r="B45" s="290"/>
      <c r="C45" s="290"/>
      <c r="D45" s="290"/>
      <c r="E45" s="289"/>
      <c r="F45" s="415"/>
      <c r="G45" s="291"/>
      <c r="H45" s="292">
        <v>41274</v>
      </c>
      <c r="I45" s="293">
        <v>41274</v>
      </c>
    </row>
    <row r="46" spans="1:10" x14ac:dyDescent="0.2">
      <c r="A46" s="289"/>
      <c r="B46" s="290"/>
      <c r="C46" s="290"/>
      <c r="D46" s="290"/>
      <c r="E46" s="289"/>
      <c r="F46" s="415"/>
      <c r="G46" s="294"/>
      <c r="H46" s="294"/>
      <c r="I46" s="295"/>
    </row>
    <row r="47" spans="1:10" ht="13.5" thickBot="1" x14ac:dyDescent="0.25">
      <c r="A47" s="296"/>
      <c r="B47" s="297"/>
      <c r="C47" s="297"/>
      <c r="D47" s="297"/>
      <c r="E47" s="296"/>
      <c r="F47" s="298"/>
      <c r="G47" s="299"/>
      <c r="H47" s="299"/>
      <c r="I47" s="300"/>
    </row>
    <row r="48" spans="1:10" ht="13.5" thickTop="1" x14ac:dyDescent="0.2">
      <c r="A48" s="120"/>
      <c r="B48" s="121"/>
      <c r="C48" s="121" t="s">
        <v>6</v>
      </c>
      <c r="D48" s="121"/>
      <c r="E48" s="363">
        <v>29695</v>
      </c>
      <c r="F48" s="123">
        <v>8472</v>
      </c>
      <c r="G48" s="124">
        <v>17500</v>
      </c>
      <c r="H48" s="124">
        <f>E48+F48-G48</f>
        <v>20667</v>
      </c>
      <c r="I48" s="125">
        <f>H48</f>
        <v>20667</v>
      </c>
    </row>
    <row r="49" spans="1:9" x14ac:dyDescent="0.2">
      <c r="A49" s="126"/>
      <c r="B49" s="127"/>
      <c r="C49" s="127" t="s">
        <v>8</v>
      </c>
      <c r="D49" s="127"/>
      <c r="E49" s="128">
        <v>12912.32</v>
      </c>
      <c r="F49" s="129">
        <v>138203</v>
      </c>
      <c r="G49" s="130">
        <v>82987</v>
      </c>
      <c r="H49" s="130">
        <f>E49+F49-G49</f>
        <v>68128.320000000007</v>
      </c>
      <c r="I49" s="131">
        <v>145093.4</v>
      </c>
    </row>
    <row r="50" spans="1:9" x14ac:dyDescent="0.2">
      <c r="A50" s="126"/>
      <c r="B50" s="127"/>
      <c r="C50" s="127" t="s">
        <v>7</v>
      </c>
      <c r="D50" s="127"/>
      <c r="E50" s="128">
        <v>168166.36</v>
      </c>
      <c r="F50" s="129">
        <f>76245.89+155492</f>
        <v>231737.89</v>
      </c>
      <c r="G50" s="130">
        <v>0</v>
      </c>
      <c r="H50" s="130">
        <f t="shared" ref="H50:H51" si="0">E50+F50-G50</f>
        <v>399904.25</v>
      </c>
      <c r="I50" s="131">
        <f>H50</f>
        <v>399904.25</v>
      </c>
    </row>
    <row r="51" spans="1:9" x14ac:dyDescent="0.2">
      <c r="A51" s="126"/>
      <c r="B51" s="127"/>
      <c r="C51" s="127" t="s">
        <v>15</v>
      </c>
      <c r="D51" s="127"/>
      <c r="E51" s="128">
        <v>99647</v>
      </c>
      <c r="F51" s="129">
        <v>125469</v>
      </c>
      <c r="G51" s="130">
        <v>144250</v>
      </c>
      <c r="H51" s="130">
        <f t="shared" si="0"/>
        <v>80866</v>
      </c>
      <c r="I51" s="131">
        <f>H51</f>
        <v>80866</v>
      </c>
    </row>
    <row r="52" spans="1:9" ht="18.75" thickBot="1" x14ac:dyDescent="0.4">
      <c r="A52" s="132" t="s">
        <v>2</v>
      </c>
      <c r="B52" s="133"/>
      <c r="C52" s="133"/>
      <c r="D52" s="133"/>
      <c r="E52" s="134">
        <f>E48+E49+E50+E51</f>
        <v>310420.68</v>
      </c>
      <c r="F52" s="135">
        <f>F48+F49+F50+F51</f>
        <v>503881.89</v>
      </c>
      <c r="G52" s="135">
        <f>G48+G49+G50+G51</f>
        <v>244737</v>
      </c>
      <c r="H52" s="135">
        <f>H48+H49+H50+H51</f>
        <v>569565.57000000007</v>
      </c>
      <c r="I52" s="136">
        <f>I48+I49+I50+I51</f>
        <v>646530.65</v>
      </c>
    </row>
    <row r="53" spans="1:9" ht="18.75" thickTop="1" x14ac:dyDescent="0.35">
      <c r="A53" s="137"/>
      <c r="B53" s="115"/>
      <c r="C53" s="115"/>
      <c r="D53" s="81"/>
      <c r="E53" s="81"/>
      <c r="F53" s="118"/>
      <c r="G53" s="119"/>
      <c r="H53" s="138"/>
      <c r="I53" s="138"/>
    </row>
    <row r="54" spans="1:9" ht="18" x14ac:dyDescent="0.35">
      <c r="A54" s="137"/>
      <c r="B54" s="115"/>
      <c r="C54" s="115"/>
      <c r="D54" s="81"/>
      <c r="E54" s="81"/>
      <c r="F54" s="118"/>
      <c r="G54" s="139"/>
      <c r="H54" s="140"/>
      <c r="I54" s="140"/>
    </row>
    <row r="55" spans="1:9" ht="18" x14ac:dyDescent="0.35">
      <c r="A55" s="141"/>
      <c r="B55" s="142"/>
      <c r="C55" s="142"/>
      <c r="D55" s="143"/>
      <c r="E55" s="143"/>
      <c r="F55" s="140"/>
      <c r="G55" s="140"/>
      <c r="H55" s="140"/>
      <c r="I55" s="140"/>
    </row>
    <row r="56" spans="1:9" x14ac:dyDescent="0.2">
      <c r="A56" s="144"/>
      <c r="B56" s="144"/>
      <c r="C56" s="144"/>
      <c r="D56" s="144"/>
      <c r="E56" s="144"/>
      <c r="F56" s="144"/>
      <c r="G56" s="144"/>
      <c r="H56" s="144"/>
      <c r="I56" s="144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</sheetData>
  <mergeCells count="11">
    <mergeCell ref="F45:F46"/>
    <mergeCell ref="E5:I5"/>
    <mergeCell ref="E7:I7"/>
    <mergeCell ref="H12:I12"/>
    <mergeCell ref="A31:I33"/>
    <mergeCell ref="A41:I41"/>
    <mergeCell ref="A2:D2"/>
    <mergeCell ref="E2:I2"/>
    <mergeCell ref="E3:I3"/>
    <mergeCell ref="E4:I4"/>
    <mergeCell ref="H43:I43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3" tint="0.59999389629810485"/>
  </sheetPr>
  <dimension ref="A1:J58"/>
  <sheetViews>
    <sheetView zoomScaleNormal="100" workbookViewId="0">
      <selection activeCell="B39" sqref="B39:B40"/>
    </sheetView>
  </sheetViews>
  <sheetFormatPr defaultRowHeight="12.75" x14ac:dyDescent="0.2"/>
  <cols>
    <col min="1" max="1" width="7.5703125" style="55" customWidth="1"/>
    <col min="2" max="2" width="2.5703125" style="55" customWidth="1"/>
    <col min="3" max="3" width="8.42578125" style="55" customWidth="1"/>
    <col min="4" max="4" width="8.28515625" style="55" customWidth="1"/>
    <col min="5" max="5" width="14.7109375" style="55" customWidth="1"/>
    <col min="6" max="6" width="15.5703125" style="55" customWidth="1"/>
    <col min="7" max="8" width="14.7109375" style="55" customWidth="1"/>
    <col min="9" max="9" width="15.140625" style="55" customWidth="1"/>
    <col min="10" max="10" width="18.85546875" style="56" customWidth="1"/>
    <col min="11" max="11" width="16.7109375" style="56" customWidth="1"/>
    <col min="12" max="16384" width="9.140625" style="56"/>
  </cols>
  <sheetData>
    <row r="1" spans="1:9" ht="19.5" x14ac:dyDescent="0.4">
      <c r="A1" s="53" t="s">
        <v>26</v>
      </c>
      <c r="B1" s="54"/>
      <c r="C1" s="54"/>
      <c r="D1" s="54"/>
    </row>
    <row r="2" spans="1:9" ht="19.5" x14ac:dyDescent="0.4">
      <c r="A2" s="410" t="s">
        <v>108</v>
      </c>
      <c r="B2" s="410"/>
      <c r="C2" s="410"/>
      <c r="D2" s="410"/>
      <c r="E2" s="427" t="s">
        <v>104</v>
      </c>
      <c r="F2" s="427"/>
      <c r="G2" s="427"/>
      <c r="H2" s="427"/>
      <c r="I2" s="427"/>
    </row>
    <row r="3" spans="1:9" ht="9.75" customHeight="1" x14ac:dyDescent="0.4">
      <c r="A3" s="57"/>
      <c r="B3" s="57"/>
      <c r="C3" s="57"/>
      <c r="D3" s="57"/>
      <c r="E3" s="413" t="s">
        <v>109</v>
      </c>
      <c r="F3" s="413"/>
      <c r="G3" s="413"/>
      <c r="H3" s="413"/>
      <c r="I3" s="413"/>
    </row>
    <row r="4" spans="1:9" ht="15.75" x14ac:dyDescent="0.25">
      <c r="A4" s="59" t="s">
        <v>27</v>
      </c>
      <c r="E4" s="424" t="s">
        <v>146</v>
      </c>
      <c r="F4" s="424"/>
      <c r="G4" s="424"/>
      <c r="H4" s="424"/>
      <c r="I4" s="424"/>
    </row>
    <row r="5" spans="1:9" ht="9.75" customHeight="1" x14ac:dyDescent="0.25">
      <c r="A5" s="59"/>
      <c r="E5" s="413" t="s">
        <v>109</v>
      </c>
      <c r="F5" s="413"/>
      <c r="G5" s="413"/>
      <c r="H5" s="413"/>
      <c r="I5" s="413"/>
    </row>
    <row r="6" spans="1:9" ht="19.5" x14ac:dyDescent="0.4">
      <c r="A6" s="60" t="s">
        <v>24</v>
      </c>
      <c r="E6" s="61" t="s">
        <v>147</v>
      </c>
      <c r="F6" s="62"/>
      <c r="G6" s="63" t="s">
        <v>39</v>
      </c>
      <c r="H6" s="64">
        <v>1032</v>
      </c>
    </row>
    <row r="7" spans="1:9" ht="8.25" customHeight="1" x14ac:dyDescent="0.4">
      <c r="A7" s="60"/>
      <c r="E7" s="413" t="s">
        <v>110</v>
      </c>
      <c r="F7" s="413"/>
      <c r="G7" s="413"/>
      <c r="H7" s="413"/>
      <c r="I7" s="413"/>
    </row>
    <row r="8" spans="1:9" ht="3" customHeight="1" x14ac:dyDescent="0.4">
      <c r="A8" s="60"/>
      <c r="E8" s="65"/>
      <c r="F8" s="65"/>
      <c r="G8" s="65"/>
      <c r="H8" s="63"/>
      <c r="I8" s="65"/>
    </row>
    <row r="9" spans="1:9" ht="29.25" customHeight="1" x14ac:dyDescent="0.2">
      <c r="F9" s="66"/>
    </row>
    <row r="10" spans="1:9" ht="18.75" x14ac:dyDescent="0.4">
      <c r="A10" s="67"/>
      <c r="B10" s="68"/>
      <c r="C10" s="68"/>
      <c r="D10" s="68"/>
      <c r="E10" s="69" t="s">
        <v>19</v>
      </c>
      <c r="F10" s="69" t="s">
        <v>22</v>
      </c>
      <c r="G10" s="70" t="s">
        <v>0</v>
      </c>
      <c r="H10" s="71" t="s">
        <v>17</v>
      </c>
      <c r="I10" s="71"/>
    </row>
    <row r="11" spans="1:9" ht="18.75" x14ac:dyDescent="0.4">
      <c r="A11" s="72"/>
      <c r="B11" s="72"/>
      <c r="C11" s="72"/>
      <c r="D11" s="72"/>
      <c r="E11" s="69" t="s">
        <v>20</v>
      </c>
      <c r="F11" s="69" t="s">
        <v>20</v>
      </c>
      <c r="G11" s="70" t="s">
        <v>18</v>
      </c>
      <c r="H11" s="73" t="s">
        <v>1</v>
      </c>
      <c r="I11" s="74" t="s">
        <v>16</v>
      </c>
    </row>
    <row r="12" spans="1:9" ht="15" x14ac:dyDescent="0.2">
      <c r="A12" s="72"/>
      <c r="B12" s="72"/>
      <c r="C12" s="72"/>
      <c r="D12" s="72"/>
      <c r="E12" s="69" t="s">
        <v>2</v>
      </c>
      <c r="F12" s="69" t="s">
        <v>2</v>
      </c>
      <c r="G12" s="75"/>
      <c r="H12" s="416" t="s">
        <v>281</v>
      </c>
      <c r="I12" s="416"/>
    </row>
    <row r="13" spans="1:9" ht="15" x14ac:dyDescent="0.2">
      <c r="A13" s="72"/>
      <c r="B13" s="72"/>
      <c r="C13" s="72"/>
      <c r="D13" s="72"/>
      <c r="E13" s="69"/>
      <c r="F13" s="69"/>
      <c r="G13" s="75"/>
      <c r="H13" s="25"/>
      <c r="I13" s="76"/>
    </row>
    <row r="14" spans="1:9" ht="18.75" x14ac:dyDescent="0.4">
      <c r="A14" s="77" t="s">
        <v>21</v>
      </c>
      <c r="B14" s="77"/>
      <c r="C14" s="78"/>
      <c r="D14" s="79"/>
      <c r="E14" s="80"/>
      <c r="F14" s="80"/>
      <c r="G14" s="81"/>
      <c r="H14" s="72"/>
      <c r="I14" s="72"/>
    </row>
    <row r="15" spans="1:9" ht="19.5" x14ac:dyDescent="0.4">
      <c r="A15" s="82" t="s">
        <v>3</v>
      </c>
      <c r="B15" s="77"/>
      <c r="C15" s="78"/>
      <c r="D15" s="79"/>
      <c r="E15" s="302">
        <v>1212000</v>
      </c>
      <c r="F15" s="303">
        <v>9286672.1799999997</v>
      </c>
      <c r="G15" s="26">
        <f>H15+I15</f>
        <v>9286872.1799999997</v>
      </c>
      <c r="H15" s="302">
        <v>9286772.1799999997</v>
      </c>
      <c r="I15" s="302">
        <v>100</v>
      </c>
    </row>
    <row r="16" spans="1:9" ht="16.5" x14ac:dyDescent="0.35">
      <c r="A16" s="2"/>
      <c r="B16" s="68"/>
      <c r="C16" s="68"/>
      <c r="D16" s="68"/>
      <c r="E16" s="83"/>
      <c r="F16" s="83"/>
      <c r="G16" s="83"/>
      <c r="H16" s="83"/>
      <c r="I16" s="83"/>
    </row>
    <row r="17" spans="1:9" ht="19.5" x14ac:dyDescent="0.4">
      <c r="A17" s="82" t="s">
        <v>4</v>
      </c>
      <c r="B17" s="3"/>
      <c r="C17" s="3"/>
      <c r="D17" s="3"/>
      <c r="E17" s="302">
        <v>1212000</v>
      </c>
      <c r="F17" s="303">
        <v>9409806.1999999993</v>
      </c>
      <c r="G17" s="26">
        <f>H17+I17</f>
        <v>9288834.5700000003</v>
      </c>
      <c r="H17" s="302">
        <v>9287234.5700000003</v>
      </c>
      <c r="I17" s="302">
        <v>1600</v>
      </c>
    </row>
    <row r="18" spans="1:9" ht="18" x14ac:dyDescent="0.35">
      <c r="A18" s="2"/>
      <c r="B18" s="3"/>
      <c r="C18" s="3"/>
      <c r="D18" s="3"/>
      <c r="E18" s="26"/>
      <c r="F18" s="27"/>
      <c r="G18" s="26"/>
      <c r="H18" s="28"/>
      <c r="I18" s="28"/>
    </row>
    <row r="19" spans="1:9" ht="18" x14ac:dyDescent="0.35">
      <c r="A19" s="2"/>
      <c r="B19" s="3"/>
      <c r="C19" s="3"/>
      <c r="D19" s="3"/>
      <c r="E19" s="84"/>
      <c r="F19" s="84"/>
      <c r="G19" s="85"/>
      <c r="H19" s="1"/>
      <c r="I19" s="1"/>
    </row>
    <row r="20" spans="1:9" ht="19.5" x14ac:dyDescent="0.4">
      <c r="A20" s="86" t="s">
        <v>14</v>
      </c>
      <c r="B20" s="84"/>
      <c r="C20" s="84"/>
      <c r="D20" s="84"/>
      <c r="E20" s="84"/>
      <c r="F20" s="84"/>
      <c r="G20" s="87"/>
      <c r="H20" s="85"/>
      <c r="I20" s="85"/>
    </row>
    <row r="21" spans="1:9" ht="18" x14ac:dyDescent="0.35">
      <c r="A21" s="84"/>
      <c r="B21" s="84"/>
      <c r="C21" s="88" t="s">
        <v>111</v>
      </c>
      <c r="D21" s="84"/>
      <c r="E21" s="84"/>
      <c r="F21" s="84"/>
      <c r="G21" s="29">
        <f>H21+I21</f>
        <v>0</v>
      </c>
      <c r="H21" s="30">
        <v>0</v>
      </c>
      <c r="I21" s="30">
        <v>0</v>
      </c>
    </row>
    <row r="22" spans="1:9" ht="18" x14ac:dyDescent="0.35">
      <c r="A22" s="84"/>
      <c r="B22" s="84"/>
      <c r="C22" s="88"/>
      <c r="D22" s="84"/>
      <c r="E22" s="84"/>
      <c r="F22" s="84"/>
      <c r="G22" s="29"/>
      <c r="H22" s="30"/>
      <c r="I22" s="30"/>
    </row>
    <row r="23" spans="1:9" ht="27.75" customHeight="1" x14ac:dyDescent="0.45">
      <c r="A23" s="89" t="s">
        <v>112</v>
      </c>
      <c r="B23" s="89"/>
      <c r="C23" s="90"/>
      <c r="D23" s="89"/>
      <c r="E23" s="89"/>
      <c r="F23" s="89"/>
      <c r="G23" s="91">
        <f>G17-G15-G21</f>
        <v>1962.390000000596</v>
      </c>
      <c r="H23" s="91">
        <f>H17-H15-H21</f>
        <v>462.39000000059605</v>
      </c>
      <c r="I23" s="91">
        <f>I17-I15-I21</f>
        <v>1500</v>
      </c>
    </row>
    <row r="24" spans="1:9" ht="9" customHeight="1" x14ac:dyDescent="0.2"/>
    <row r="25" spans="1:9" ht="2.25" customHeight="1" x14ac:dyDescent="0.2">
      <c r="A25" s="425"/>
      <c r="B25" s="426"/>
      <c r="C25" s="426"/>
      <c r="D25" s="426"/>
      <c r="E25" s="426"/>
      <c r="F25" s="426"/>
      <c r="G25" s="426"/>
      <c r="H25" s="426"/>
      <c r="I25" s="426"/>
    </row>
    <row r="26" spans="1:9" x14ac:dyDescent="0.2">
      <c r="A26" s="426"/>
      <c r="B26" s="426"/>
      <c r="C26" s="426"/>
      <c r="D26" s="426"/>
      <c r="E26" s="426"/>
      <c r="F26" s="426"/>
      <c r="G26" s="426"/>
      <c r="H26" s="426"/>
      <c r="I26" s="426"/>
    </row>
    <row r="27" spans="1:9" x14ac:dyDescent="0.2">
      <c r="A27" s="426"/>
      <c r="B27" s="426"/>
      <c r="C27" s="426"/>
      <c r="D27" s="426"/>
      <c r="E27" s="426"/>
      <c r="F27" s="426"/>
      <c r="G27" s="426"/>
      <c r="H27" s="426"/>
      <c r="I27" s="426"/>
    </row>
    <row r="28" spans="1:9" ht="21.75" customHeight="1" x14ac:dyDescent="0.2">
      <c r="A28" s="172"/>
      <c r="B28" s="172"/>
      <c r="C28" s="172"/>
      <c r="D28" s="172"/>
      <c r="E28" s="172"/>
      <c r="F28" s="172"/>
      <c r="G28" s="172"/>
      <c r="H28" s="172"/>
      <c r="I28" s="172"/>
    </row>
    <row r="29" spans="1:9" ht="19.5" x14ac:dyDescent="0.4">
      <c r="A29" s="77" t="s">
        <v>5</v>
      </c>
      <c r="B29" s="77" t="s">
        <v>113</v>
      </c>
      <c r="C29" s="77"/>
      <c r="D29" s="3"/>
      <c r="E29" s="3"/>
      <c r="F29" s="72"/>
      <c r="G29" s="93">
        <f>SUM(G30:G32)</f>
        <v>1962.39</v>
      </c>
      <c r="H29" s="94"/>
      <c r="I29" s="95"/>
    </row>
    <row r="30" spans="1:9" ht="18.75" x14ac:dyDescent="0.4">
      <c r="A30" s="96"/>
      <c r="B30" s="96"/>
      <c r="C30" s="97" t="s">
        <v>28</v>
      </c>
      <c r="D30" s="98"/>
      <c r="E30" s="99"/>
      <c r="F30" s="92" t="s">
        <v>6</v>
      </c>
      <c r="G30" s="30">
        <v>0</v>
      </c>
      <c r="H30" s="94"/>
      <c r="I30" s="95"/>
    </row>
    <row r="31" spans="1:9" ht="18.75" x14ac:dyDescent="0.4">
      <c r="A31" s="96"/>
      <c r="B31" s="96"/>
      <c r="C31" s="97"/>
      <c r="D31" s="98"/>
      <c r="E31" s="99"/>
      <c r="F31" s="92" t="s">
        <v>7</v>
      </c>
      <c r="G31" s="30">
        <v>1962.39</v>
      </c>
      <c r="H31" s="94"/>
      <c r="I31" s="95"/>
    </row>
    <row r="32" spans="1:9" ht="18.75" x14ac:dyDescent="0.4">
      <c r="A32" s="96"/>
      <c r="B32" s="96"/>
      <c r="C32" s="97" t="s">
        <v>29</v>
      </c>
      <c r="D32" s="98"/>
      <c r="E32" s="99"/>
      <c r="F32" s="92" t="s">
        <v>223</v>
      </c>
      <c r="G32" s="100">
        <v>0</v>
      </c>
      <c r="H32" s="101"/>
      <c r="I32" s="95"/>
    </row>
    <row r="33" spans="1:10" ht="18.75" x14ac:dyDescent="0.4">
      <c r="A33" s="96"/>
      <c r="B33" s="96"/>
      <c r="C33" s="97"/>
      <c r="D33" s="98"/>
      <c r="E33" s="99"/>
      <c r="F33" s="92"/>
      <c r="G33" s="100"/>
      <c r="H33" s="101"/>
      <c r="I33" s="95"/>
    </row>
    <row r="34" spans="1:10" x14ac:dyDescent="0.2">
      <c r="A34" s="172"/>
      <c r="B34" s="172"/>
      <c r="C34" s="172"/>
      <c r="D34" s="172"/>
      <c r="E34" s="172"/>
      <c r="F34" s="172"/>
      <c r="G34" s="172"/>
      <c r="H34" s="172"/>
      <c r="I34" s="172"/>
    </row>
    <row r="35" spans="1:10" ht="19.5" x14ac:dyDescent="0.4">
      <c r="A35" s="77" t="s">
        <v>30</v>
      </c>
      <c r="B35" s="77" t="s">
        <v>31</v>
      </c>
      <c r="C35" s="77"/>
      <c r="D35" s="103"/>
      <c r="E35" s="81"/>
      <c r="F35" s="3"/>
      <c r="G35" s="104"/>
      <c r="H35" s="95"/>
      <c r="I35" s="95"/>
    </row>
    <row r="36" spans="1:10" ht="18.75" x14ac:dyDescent="0.4">
      <c r="A36" s="77"/>
      <c r="B36" s="77"/>
      <c r="C36" s="77"/>
      <c r="D36" s="103"/>
      <c r="F36" s="105" t="s">
        <v>115</v>
      </c>
      <c r="G36" s="106" t="s">
        <v>0</v>
      </c>
      <c r="H36" s="72"/>
      <c r="I36" s="107" t="s">
        <v>116</v>
      </c>
    </row>
    <row r="37" spans="1:10" ht="16.5" x14ac:dyDescent="0.35">
      <c r="A37" s="108" t="s">
        <v>32</v>
      </c>
      <c r="B37" s="109"/>
      <c r="C37" s="2"/>
      <c r="D37" s="109"/>
      <c r="E37" s="81"/>
      <c r="F37" s="110">
        <v>0</v>
      </c>
      <c r="G37" s="110">
        <v>0</v>
      </c>
      <c r="H37" s="305"/>
      <c r="I37" s="111" t="s">
        <v>225</v>
      </c>
    </row>
    <row r="38" spans="1:10" ht="16.5" x14ac:dyDescent="0.35">
      <c r="A38" s="108" t="s">
        <v>117</v>
      </c>
      <c r="B38" s="109"/>
      <c r="C38" s="2"/>
      <c r="D38" s="112"/>
      <c r="E38" s="112"/>
      <c r="F38" s="110">
        <v>241357</v>
      </c>
      <c r="G38" s="110">
        <v>241360</v>
      </c>
      <c r="H38" s="305"/>
      <c r="I38" s="111">
        <f>G38/F38</f>
        <v>1.0000124297202899</v>
      </c>
    </row>
    <row r="39" spans="1:10" ht="16.5" x14ac:dyDescent="0.35">
      <c r="A39" s="108" t="s">
        <v>118</v>
      </c>
      <c r="B39" s="109"/>
      <c r="C39" s="2"/>
      <c r="D39" s="112"/>
      <c r="E39" s="112"/>
      <c r="F39" s="110">
        <v>0</v>
      </c>
      <c r="G39" s="110">
        <v>0</v>
      </c>
      <c r="H39" s="305"/>
      <c r="I39" s="114" t="s">
        <v>225</v>
      </c>
    </row>
    <row r="40" spans="1:10" ht="16.5" x14ac:dyDescent="0.35">
      <c r="A40" s="108" t="s">
        <v>220</v>
      </c>
      <c r="B40" s="109"/>
      <c r="C40" s="2"/>
      <c r="D40" s="81"/>
      <c r="E40" s="81"/>
      <c r="F40" s="110">
        <v>181268</v>
      </c>
      <c r="G40" s="110">
        <v>181268</v>
      </c>
      <c r="H40" s="305"/>
      <c r="I40" s="111">
        <f>G40/F40</f>
        <v>1</v>
      </c>
    </row>
    <row r="41" spans="1:10" ht="18" x14ac:dyDescent="0.35">
      <c r="A41" s="176" t="s">
        <v>221</v>
      </c>
      <c r="B41" s="151"/>
      <c r="C41" s="151"/>
      <c r="D41" s="152"/>
      <c r="E41" s="152"/>
      <c r="F41" s="153">
        <v>0</v>
      </c>
      <c r="G41" s="154">
        <v>0</v>
      </c>
      <c r="H41" s="305"/>
      <c r="I41" s="114" t="s">
        <v>225</v>
      </c>
      <c r="J41" s="58"/>
    </row>
    <row r="42" spans="1:10" ht="15" customHeight="1" x14ac:dyDescent="0.2">
      <c r="A42" s="429" t="s">
        <v>298</v>
      </c>
      <c r="B42" s="423"/>
      <c r="C42" s="423"/>
      <c r="D42" s="423"/>
      <c r="E42" s="423"/>
      <c r="F42" s="423"/>
      <c r="G42" s="423"/>
      <c r="H42" s="423"/>
      <c r="I42" s="423"/>
    </row>
    <row r="43" spans="1:10" ht="15" customHeight="1" x14ac:dyDescent="0.2">
      <c r="A43" s="117"/>
      <c r="B43" s="117"/>
      <c r="C43" s="117"/>
      <c r="D43" s="117"/>
      <c r="E43" s="117"/>
      <c r="F43" s="117"/>
      <c r="G43" s="117"/>
      <c r="H43" s="117"/>
      <c r="I43" s="117"/>
    </row>
    <row r="44" spans="1:10" ht="19.5" thickBot="1" x14ac:dyDescent="0.45">
      <c r="A44" s="77" t="s">
        <v>11</v>
      </c>
      <c r="B44" s="77" t="s">
        <v>12</v>
      </c>
      <c r="C44" s="79"/>
      <c r="D44" s="81"/>
      <c r="E44" s="81"/>
      <c r="F44" s="118"/>
      <c r="G44" s="119"/>
      <c r="H44" s="419" t="s">
        <v>119</v>
      </c>
      <c r="I44" s="420"/>
    </row>
    <row r="45" spans="1:10" ht="18.75" thickTop="1" x14ac:dyDescent="0.35">
      <c r="A45" s="281"/>
      <c r="B45" s="282"/>
      <c r="C45" s="283"/>
      <c r="D45" s="282"/>
      <c r="E45" s="284" t="s">
        <v>288</v>
      </c>
      <c r="F45" s="285" t="s">
        <v>9</v>
      </c>
      <c r="G45" s="286" t="s">
        <v>10</v>
      </c>
      <c r="H45" s="287" t="s">
        <v>13</v>
      </c>
      <c r="I45" s="288" t="s">
        <v>120</v>
      </c>
    </row>
    <row r="46" spans="1:10" x14ac:dyDescent="0.2">
      <c r="A46" s="289"/>
      <c r="B46" s="290"/>
      <c r="C46" s="290"/>
      <c r="D46" s="290"/>
      <c r="E46" s="289"/>
      <c r="F46" s="415"/>
      <c r="G46" s="291"/>
      <c r="H46" s="292">
        <v>41274</v>
      </c>
      <c r="I46" s="293">
        <v>41274</v>
      </c>
    </row>
    <row r="47" spans="1:10" x14ac:dyDescent="0.2">
      <c r="A47" s="289"/>
      <c r="B47" s="290"/>
      <c r="C47" s="290"/>
      <c r="D47" s="290"/>
      <c r="E47" s="289"/>
      <c r="F47" s="415"/>
      <c r="G47" s="294"/>
      <c r="H47" s="294"/>
      <c r="I47" s="295"/>
    </row>
    <row r="48" spans="1:10" ht="13.5" thickBot="1" x14ac:dyDescent="0.25">
      <c r="A48" s="296"/>
      <c r="B48" s="297"/>
      <c r="C48" s="297"/>
      <c r="D48" s="297"/>
      <c r="E48" s="296"/>
      <c r="F48" s="298"/>
      <c r="G48" s="299"/>
      <c r="H48" s="299"/>
      <c r="I48" s="300"/>
    </row>
    <row r="49" spans="1:9" ht="13.5" thickTop="1" x14ac:dyDescent="0.2">
      <c r="A49" s="120"/>
      <c r="B49" s="121"/>
      <c r="C49" s="121" t="s">
        <v>6</v>
      </c>
      <c r="D49" s="121"/>
      <c r="E49" s="122">
        <v>14000</v>
      </c>
      <c r="F49" s="123">
        <v>0</v>
      </c>
      <c r="G49" s="124">
        <v>2000</v>
      </c>
      <c r="H49" s="124">
        <f>E49+F49-G49</f>
        <v>12000</v>
      </c>
      <c r="I49" s="125">
        <f>H49</f>
        <v>12000</v>
      </c>
    </row>
    <row r="50" spans="1:9" x14ac:dyDescent="0.2">
      <c r="A50" s="126"/>
      <c r="B50" s="127"/>
      <c r="C50" s="127" t="s">
        <v>8</v>
      </c>
      <c r="D50" s="127"/>
      <c r="E50" s="128">
        <v>90698.07</v>
      </c>
      <c r="F50" s="129">
        <v>58424</v>
      </c>
      <c r="G50" s="130">
        <v>71110</v>
      </c>
      <c r="H50" s="130">
        <f>E50+F50-G50</f>
        <v>78012.070000000007</v>
      </c>
      <c r="I50" s="131">
        <v>66670.91</v>
      </c>
    </row>
    <row r="51" spans="1:9" x14ac:dyDescent="0.2">
      <c r="A51" s="126"/>
      <c r="B51" s="127"/>
      <c r="C51" s="127" t="s">
        <v>7</v>
      </c>
      <c r="D51" s="127"/>
      <c r="E51" s="128">
        <v>268477.15000000002</v>
      </c>
      <c r="F51" s="129">
        <f>109827.46+205978.5</f>
        <v>315805.96000000002</v>
      </c>
      <c r="G51" s="130">
        <f>27574+51595.3</f>
        <v>79169.3</v>
      </c>
      <c r="H51" s="130">
        <f t="shared" ref="H51:H52" si="0">E51+F51-G51</f>
        <v>505113.81000000011</v>
      </c>
      <c r="I51" s="131">
        <f>H51</f>
        <v>505113.81000000011</v>
      </c>
    </row>
    <row r="52" spans="1:9" x14ac:dyDescent="0.2">
      <c r="A52" s="126"/>
      <c r="B52" s="127"/>
      <c r="C52" s="127" t="s">
        <v>15</v>
      </c>
      <c r="D52" s="127"/>
      <c r="E52" s="128">
        <v>106327.36</v>
      </c>
      <c r="F52" s="129">
        <v>241360</v>
      </c>
      <c r="G52" s="130">
        <v>181268</v>
      </c>
      <c r="H52" s="130">
        <f t="shared" si="0"/>
        <v>166419.35999999999</v>
      </c>
      <c r="I52" s="131">
        <f>H52</f>
        <v>166419.35999999999</v>
      </c>
    </row>
    <row r="53" spans="1:9" ht="18.75" thickBot="1" x14ac:dyDescent="0.4">
      <c r="A53" s="132" t="s">
        <v>2</v>
      </c>
      <c r="B53" s="133"/>
      <c r="C53" s="133"/>
      <c r="D53" s="133"/>
      <c r="E53" s="134">
        <f>E49+E50+E51+E52</f>
        <v>479502.58</v>
      </c>
      <c r="F53" s="135">
        <f>F49+F50+F51+F52</f>
        <v>615589.96</v>
      </c>
      <c r="G53" s="135">
        <f>G49+G50+G51+G52</f>
        <v>333547.3</v>
      </c>
      <c r="H53" s="135">
        <f>H49+H50+H51+H52</f>
        <v>761545.24000000011</v>
      </c>
      <c r="I53" s="136">
        <f>I49+I50+I51+I52</f>
        <v>750204.08000000007</v>
      </c>
    </row>
    <row r="54" spans="1:9" ht="18.75" thickTop="1" x14ac:dyDescent="0.35">
      <c r="A54" s="137"/>
      <c r="B54" s="115"/>
      <c r="C54" s="115"/>
      <c r="D54" s="81"/>
      <c r="E54" s="81"/>
      <c r="F54" s="118"/>
      <c r="G54" s="119"/>
      <c r="H54" s="138"/>
      <c r="I54" s="138"/>
    </row>
    <row r="55" spans="1:9" ht="18" x14ac:dyDescent="0.35">
      <c r="A55" s="137"/>
      <c r="B55" s="115"/>
      <c r="C55" s="115"/>
      <c r="D55" s="81"/>
      <c r="E55" s="81"/>
      <c r="F55" s="118"/>
      <c r="G55" s="139"/>
      <c r="H55" s="140"/>
      <c r="I55" s="140"/>
    </row>
    <row r="56" spans="1:9" ht="18" x14ac:dyDescent="0.35">
      <c r="A56" s="141"/>
      <c r="B56" s="142"/>
      <c r="C56" s="142"/>
      <c r="D56" s="143"/>
      <c r="E56" s="143"/>
      <c r="F56" s="140"/>
      <c r="G56" s="140"/>
      <c r="H56" s="140"/>
      <c r="I56" s="140"/>
    </row>
    <row r="57" spans="1:9" x14ac:dyDescent="0.2">
      <c r="A57" s="144"/>
      <c r="B57" s="144"/>
      <c r="C57" s="144"/>
      <c r="D57" s="144"/>
      <c r="E57" s="144"/>
      <c r="F57" s="144"/>
      <c r="G57" s="144"/>
      <c r="H57" s="144"/>
      <c r="I57" s="144"/>
    </row>
    <row r="58" spans="1:9" x14ac:dyDescent="0.2">
      <c r="A58" s="144"/>
      <c r="B58" s="144"/>
      <c r="C58" s="144"/>
      <c r="D58" s="144"/>
      <c r="E58" s="144"/>
      <c r="F58" s="144"/>
      <c r="G58" s="144"/>
      <c r="H58" s="144"/>
      <c r="I58" s="144"/>
    </row>
  </sheetData>
  <mergeCells count="11">
    <mergeCell ref="F46:F47"/>
    <mergeCell ref="E5:I5"/>
    <mergeCell ref="E7:I7"/>
    <mergeCell ref="H12:I12"/>
    <mergeCell ref="A25:I27"/>
    <mergeCell ref="A42:I42"/>
    <mergeCell ref="A2:D2"/>
    <mergeCell ref="E2:I2"/>
    <mergeCell ref="E3:I3"/>
    <mergeCell ref="E4:I4"/>
    <mergeCell ref="H44:I44"/>
  </mergeCells>
  <phoneticPr fontId="10" type="noConversion"/>
  <printOptions horizontalCentered="1" verticalCentered="1"/>
  <pageMargins left="0.39370078740157483" right="0" top="0.70866141732283472" bottom="1.0629921259842521" header="0.31496062992125984" footer="0.51181102362204722"/>
  <pageSetup paperSize="9" scale="85" firstPageNumber="285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45</vt:i4>
      </vt:variant>
      <vt:variant>
        <vt:lpstr>Pojmenované oblasti</vt:lpstr>
      </vt:variant>
      <vt:variant>
        <vt:i4>23</vt:i4>
      </vt:variant>
    </vt:vector>
  </HeadingPairs>
  <TitlesOfParts>
    <vt:vector size="68" baseType="lpstr">
      <vt:lpstr>Rekapitulace </vt:lpstr>
      <vt:lpstr>1000</vt:lpstr>
      <vt:lpstr>1001</vt:lpstr>
      <vt:lpstr>1010</vt:lpstr>
      <vt:lpstr>1012</vt:lpstr>
      <vt:lpstr>1013</vt:lpstr>
      <vt:lpstr>1014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1124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1316</vt:lpstr>
      <vt:lpstr>1350</vt:lpstr>
      <vt:lpstr>1351</vt:lpstr>
      <vt:lpstr>1352</vt:lpstr>
      <vt:lpstr>1400</vt:lpstr>
      <vt:lpstr>1420</vt:lpstr>
      <vt:lpstr>1450</vt:lpstr>
      <vt:lpstr>List5</vt:lpstr>
      <vt:lpstr>'Rekapitulace '!Názvy_tisku</vt:lpstr>
      <vt:lpstr>'1010'!Oblast_tisku</vt:lpstr>
      <vt:lpstr>'1012'!Oblast_tisku</vt:lpstr>
      <vt:lpstr>'1014'!Oblast_tisku</vt:lpstr>
      <vt:lpstr>'1100'!Oblast_tisku</vt:lpstr>
      <vt:lpstr>'1101'!Oblast_tisku</vt:lpstr>
      <vt:lpstr>'1103'!Oblast_tisku</vt:lpstr>
      <vt:lpstr>'1104'!Oblast_tisku</vt:lpstr>
      <vt:lpstr>'1121'!Oblast_tisku</vt:lpstr>
      <vt:lpstr>'1122'!Oblast_tisku</vt:lpstr>
      <vt:lpstr>'1150'!Oblast_tisku</vt:lpstr>
      <vt:lpstr>'1202'!Oblast_tisku</vt:lpstr>
      <vt:lpstr>'1204'!Oblast_tisku</vt:lpstr>
      <vt:lpstr>'1205'!Oblast_tisku</vt:lpstr>
      <vt:lpstr>'1206'!Oblast_tisku</vt:lpstr>
      <vt:lpstr>'1207'!Oblast_tisku</vt:lpstr>
      <vt:lpstr>'1300'!Oblast_tisku</vt:lpstr>
      <vt:lpstr>'1350'!Oblast_tisku</vt:lpstr>
      <vt:lpstr>'1352'!Oblast_tisku</vt:lpstr>
      <vt:lpstr>'1400'!Oblast_tisku</vt:lpstr>
      <vt:lpstr>'1420'!Oblast_tisku</vt:lpstr>
      <vt:lpstr>'1450'!Oblast_tisku</vt:lpstr>
      <vt:lpstr>'Rekapitulace '!Oblast_tisku</vt:lpstr>
    </vt:vector>
  </TitlesOfParts>
  <Company>Krajský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Dresslerová Veronika</cp:lastModifiedBy>
  <cp:lastPrinted>2013-05-30T12:07:50Z</cp:lastPrinted>
  <dcterms:created xsi:type="dcterms:W3CDTF">2002-03-27T12:20:37Z</dcterms:created>
  <dcterms:modified xsi:type="dcterms:W3CDTF">2013-06-10T10:18:53Z</dcterms:modified>
</cp:coreProperties>
</file>