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2\Plnění rozpočtu k 31. 3. 2022\ZOK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2'!$A$1:$F$120</definedName>
  </definedNames>
  <calcPr calcId="162913"/>
</workbook>
</file>

<file path=xl/calcChain.xml><?xml version="1.0" encoding="utf-8"?>
<calcChain xmlns="http://schemas.openxmlformats.org/spreadsheetml/2006/main">
  <c r="E11" i="1" l="1"/>
  <c r="E9" i="1" l="1"/>
  <c r="E15" i="1"/>
  <c r="N25" i="14" l="1"/>
  <c r="M25" i="14"/>
  <c r="G41" i="14" l="1"/>
  <c r="C41" i="14"/>
  <c r="B41" i="14"/>
  <c r="H35" i="14" l="1"/>
  <c r="H26" i="14"/>
  <c r="I26" i="14"/>
  <c r="N26" i="14" l="1"/>
  <c r="M26" i="14"/>
  <c r="G26" i="14" l="1"/>
  <c r="G20" i="14"/>
  <c r="G25" i="14"/>
  <c r="D20" i="14" l="1"/>
  <c r="C20" i="14"/>
  <c r="B20" i="14"/>
  <c r="B21" i="14"/>
  <c r="I24" i="14"/>
  <c r="H24" i="14"/>
  <c r="G24" i="14"/>
  <c r="N24" i="14"/>
  <c r="M24" i="14"/>
  <c r="L24" i="14"/>
  <c r="M14" i="14"/>
  <c r="M15" i="14"/>
  <c r="I7" i="14"/>
  <c r="H7" i="14"/>
  <c r="G7" i="14"/>
  <c r="I11" i="14"/>
  <c r="N15" i="14"/>
  <c r="B13" i="14"/>
  <c r="N14" i="14"/>
  <c r="L13" i="14"/>
  <c r="I13" i="14"/>
  <c r="H13" i="14"/>
  <c r="G13" i="14"/>
  <c r="H15" i="14"/>
  <c r="I15" i="14"/>
  <c r="G15" i="14"/>
  <c r="M13" i="14" l="1"/>
  <c r="C13" i="14" s="1"/>
  <c r="I14" i="14"/>
  <c r="H14" i="14"/>
  <c r="G14" i="14"/>
  <c r="C12" i="14"/>
  <c r="D12" i="14"/>
  <c r="B12" i="14"/>
  <c r="O11" i="14" l="1"/>
  <c r="G11" i="14"/>
  <c r="E11" i="14"/>
  <c r="O10" i="14"/>
  <c r="O9" i="14"/>
  <c r="N6" i="14"/>
  <c r="O6" i="14" s="1"/>
  <c r="M6" i="14"/>
  <c r="L6" i="14"/>
  <c r="J8" i="14"/>
  <c r="J7" i="14"/>
  <c r="H6" i="14"/>
  <c r="I6" i="14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B6" i="14" l="1"/>
  <c r="H11" i="14"/>
  <c r="J11" i="14" s="1"/>
  <c r="C6" i="14"/>
  <c r="E8" i="14"/>
  <c r="J6" i="14"/>
  <c r="E7" i="14"/>
  <c r="D6" i="14"/>
  <c r="E6" i="14" s="1"/>
  <c r="E10" i="14"/>
  <c r="E114" i="2" l="1"/>
  <c r="E115" i="2"/>
  <c r="D114" i="2"/>
  <c r="D115" i="2"/>
  <c r="C115" i="2"/>
  <c r="C114" i="2"/>
  <c r="C117" i="2"/>
  <c r="E29" i="2" l="1"/>
  <c r="D29" i="2"/>
  <c r="C29" i="2"/>
  <c r="E28" i="2"/>
  <c r="E103" i="2" s="1"/>
  <c r="C103" i="2"/>
  <c r="D93" i="2"/>
  <c r="E93" i="2"/>
  <c r="C93" i="2"/>
  <c r="C67" i="2"/>
  <c r="E72" i="2"/>
  <c r="D72" i="2"/>
  <c r="C72" i="2"/>
  <c r="F74" i="2"/>
  <c r="C68" i="2"/>
  <c r="E68" i="2"/>
  <c r="D68" i="2"/>
  <c r="D67" i="2" s="1"/>
  <c r="F73" i="2"/>
  <c r="F57" i="2"/>
  <c r="F61" i="2"/>
  <c r="F68" i="2" l="1"/>
  <c r="E67" i="2"/>
  <c r="F67" i="2" s="1"/>
  <c r="F72" i="2"/>
  <c r="E42" i="2" l="1"/>
  <c r="D42" i="2"/>
  <c r="C42" i="2"/>
  <c r="E33" i="2"/>
  <c r="D33" i="2"/>
  <c r="C33" i="2"/>
  <c r="E24" i="2"/>
  <c r="D24" i="2"/>
  <c r="C24" i="2"/>
  <c r="E11" i="2"/>
  <c r="D11" i="2"/>
  <c r="C11" i="2"/>
  <c r="C10" i="2" s="1"/>
  <c r="E7" i="2"/>
  <c r="D7" i="2"/>
  <c r="C7" i="2"/>
  <c r="D104" i="2"/>
  <c r="E104" i="2"/>
  <c r="C104" i="2"/>
  <c r="F13" i="2"/>
  <c r="E10" i="2"/>
  <c r="D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C45" i="14"/>
  <c r="D45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7" i="14" l="1"/>
  <c r="D47" i="14" s="1"/>
  <c r="C37" i="14"/>
  <c r="D37" i="14" s="1"/>
  <c r="C36" i="14"/>
  <c r="D36" i="14" s="1"/>
  <c r="M20" i="14"/>
  <c r="H20" i="14" s="1"/>
  <c r="H25" i="14" s="1"/>
  <c r="N20" i="14"/>
  <c r="M44" i="14" s="1"/>
  <c r="N44" i="14" s="1"/>
  <c r="L20" i="14"/>
  <c r="D24" i="14"/>
  <c r="D27" i="14"/>
  <c r="C27" i="14"/>
  <c r="B27" i="14"/>
  <c r="C24" i="14"/>
  <c r="B24" i="14"/>
  <c r="C23" i="14"/>
  <c r="E23" i="14" s="1"/>
  <c r="D23" i="14"/>
  <c r="B23" i="14"/>
  <c r="C22" i="14"/>
  <c r="D22" i="14"/>
  <c r="B22" i="14"/>
  <c r="D21" i="14"/>
  <c r="C21" i="14"/>
  <c r="E21" i="14" s="1"/>
  <c r="L26" i="14"/>
  <c r="M27" i="14" l="1"/>
  <c r="E27" i="14"/>
  <c r="N27" i="14"/>
  <c r="O27" i="14" s="1"/>
  <c r="E24" i="14"/>
  <c r="L27" i="14"/>
  <c r="O20" i="14"/>
  <c r="E22" i="14"/>
  <c r="C15" i="14"/>
  <c r="D15" i="14"/>
  <c r="C40" i="14" s="1"/>
  <c r="D40" i="14" s="1"/>
  <c r="B15" i="14"/>
  <c r="C14" i="14"/>
  <c r="G27" i="14" l="1"/>
  <c r="B25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M16" i="14"/>
  <c r="M29" i="14" s="1"/>
  <c r="I27" i="14" l="1"/>
  <c r="J26" i="14"/>
  <c r="I29" i="14"/>
  <c r="J16" i="14"/>
  <c r="C35" i="14"/>
  <c r="M37" i="14"/>
  <c r="H44" i="14"/>
  <c r="I44" i="14" s="1"/>
  <c r="I25" i="14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0" i="10" l="1"/>
  <c r="E117" i="2" l="1"/>
  <c r="E119" i="2" s="1"/>
  <c r="D76" i="2"/>
  <c r="E76" i="2"/>
  <c r="C76" i="2"/>
  <c r="D16" i="10" l="1"/>
  <c r="C16" i="10"/>
  <c r="F9" i="3" s="1"/>
  <c r="B16" i="10"/>
  <c r="D56" i="2" l="1"/>
  <c r="E37" i="2" l="1"/>
  <c r="D37" i="2"/>
  <c r="C37" i="2"/>
  <c r="C45" i="2" l="1"/>
  <c r="E32" i="2" l="1"/>
  <c r="C32" i="2"/>
  <c r="C17" i="2"/>
  <c r="C6" i="2"/>
  <c r="C14" i="2" l="1"/>
  <c r="C119" i="2" l="1"/>
  <c r="C100" i="2"/>
  <c r="C96" i="2"/>
  <c r="C92" i="2"/>
  <c r="C87" i="2"/>
  <c r="C84" i="2"/>
  <c r="C80" i="2"/>
  <c r="C60" i="2"/>
  <c r="C56" i="2"/>
  <c r="C52" i="2"/>
  <c r="C48" i="2"/>
  <c r="C47" i="2" s="1"/>
  <c r="C44" i="2"/>
  <c r="C41" i="2"/>
  <c r="C23" i="2"/>
  <c r="C20" i="2"/>
  <c r="C55" i="2" l="1"/>
  <c r="C75" i="2"/>
  <c r="C36" i="2"/>
  <c r="C118" i="2"/>
  <c r="C120" i="2" s="1"/>
  <c r="C105" i="2" l="1"/>
  <c r="D41" i="2"/>
  <c r="E41" i="2"/>
  <c r="D44" i="2"/>
  <c r="E44" i="2"/>
  <c r="E16" i="10" l="1"/>
  <c r="E13" i="10"/>
  <c r="F115" i="2" l="1"/>
  <c r="F116" i="2"/>
  <c r="F90" i="2"/>
  <c r="D23" i="2" l="1"/>
  <c r="E20" i="2"/>
  <c r="D20" i="2"/>
  <c r="F22" i="2"/>
  <c r="F21" i="2"/>
  <c r="F20" i="2" l="1"/>
  <c r="D87" i="2" l="1"/>
  <c r="E87" i="2"/>
  <c r="F89" i="2"/>
  <c r="D84" i="2"/>
  <c r="E84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17" i="2"/>
  <c r="F117" i="2" s="1"/>
  <c r="D119" i="2" l="1"/>
  <c r="F119" i="2" s="1"/>
  <c r="F99" i="2" l="1"/>
  <c r="E14" i="10" l="1"/>
  <c r="E9" i="10"/>
  <c r="E14" i="1"/>
  <c r="E12" i="1"/>
  <c r="E10" i="1"/>
  <c r="F16" i="2" l="1"/>
  <c r="D96" i="2" l="1"/>
  <c r="E96" i="2"/>
  <c r="F79" i="2" l="1"/>
  <c r="F59" i="2"/>
  <c r="F51" i="2" l="1"/>
  <c r="F35" i="2" l="1"/>
  <c r="F31" i="2"/>
  <c r="E9" i="3" l="1"/>
  <c r="G9" i="3" l="1"/>
  <c r="H9" i="3" l="1"/>
  <c r="F91" i="2" l="1"/>
  <c r="D36" i="2" l="1"/>
  <c r="F62" i="2" l="1"/>
  <c r="F9" i="2" l="1"/>
  <c r="F49" i="2" l="1"/>
  <c r="F86" i="2" l="1"/>
  <c r="D47" i="2" l="1"/>
  <c r="D103" i="2" s="1"/>
  <c r="E47" i="2" l="1"/>
  <c r="F52" i="2" l="1"/>
  <c r="D15" i="1" l="1"/>
  <c r="G7" i="3" l="1"/>
  <c r="C15" i="1" l="1"/>
  <c r="E13" i="1"/>
  <c r="F7" i="3" l="1"/>
  <c r="H7" i="3" l="1"/>
  <c r="F87" i="2"/>
  <c r="E36" i="2" l="1"/>
  <c r="F37" i="2"/>
  <c r="F36" i="2" l="1"/>
  <c r="D75" i="2" l="1"/>
  <c r="F8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0" i="2"/>
  <c r="D100" i="2"/>
  <c r="F24" i="2"/>
  <c r="B15" i="1"/>
  <c r="F104" i="2"/>
  <c r="F101" i="2"/>
  <c r="F94" i="2"/>
  <c r="F85" i="2"/>
  <c r="F45" i="2"/>
  <c r="F42" i="2"/>
  <c r="F38" i="2"/>
  <c r="F29" i="2"/>
  <c r="F19" i="2"/>
  <c r="F18" i="2"/>
  <c r="F15" i="2"/>
  <c r="E7" i="3" l="1"/>
  <c r="F77" i="2"/>
  <c r="E75" i="2"/>
  <c r="F96" i="2"/>
  <c r="G7" i="8"/>
  <c r="F41" i="2"/>
  <c r="F60" i="2"/>
  <c r="F100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F93" i="2"/>
  <c r="E92" i="2"/>
  <c r="D105" i="2" l="1"/>
  <c r="F8" i="3" s="1"/>
  <c r="C5" i="4" s="1"/>
  <c r="D118" i="2"/>
  <c r="F114" i="2"/>
  <c r="F92" i="2"/>
  <c r="F6" i="2"/>
  <c r="E118" i="2"/>
  <c r="F103" i="2" l="1"/>
  <c r="D120" i="2"/>
  <c r="F118" i="2"/>
  <c r="E105" i="2"/>
  <c r="G8" i="3" s="1"/>
  <c r="G10" i="3" s="1"/>
  <c r="E120" i="2"/>
  <c r="F120" i="2" l="1"/>
  <c r="F105" i="2"/>
  <c r="H8" i="3"/>
  <c r="C6" i="4"/>
  <c r="L16" i="14"/>
  <c r="L29" i="14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N16" i="14"/>
  <c r="O16" i="14" s="1"/>
  <c r="E13" i="14"/>
  <c r="D16" i="14"/>
  <c r="C38" i="14"/>
  <c r="M53" i="14"/>
  <c r="N41" i="14"/>
  <c r="N29" i="14"/>
  <c r="C39" i="14"/>
  <c r="D39" i="14" s="1"/>
  <c r="O13" i="14"/>
  <c r="N38" i="14"/>
  <c r="D38" i="14" l="1"/>
  <c r="D29" i="14"/>
  <c r="E16" i="14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<sst xmlns="http://schemas.openxmlformats.org/spreadsheetml/2006/main" count="365" uniqueCount="160">
  <si>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</si>
  <si>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</si>
  <si>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</si>
  <si>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</si>
  <si>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</si>
  <si>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</si>
  <si>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</si>
  <si>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</si>
  <si>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</si>
  <si>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</si>
  <si>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</si>
  <si>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</si>
  <si>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</si>
  <si>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</si>
  <si>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</si>
  <si>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</si>
  <si>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</si>
  <si>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</si>
  <si>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</si>
  <si>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</si>
  <si>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</si>
  <si>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</si>
  <si>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</si>
  <si>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</si>
  <si>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</si>
  <si>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</si>
  <si>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</si>
  <si>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</si>
  <si>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</si>
  <si>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</si>
  <si>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</si>
  <si>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</si>
  <si>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</si>
  <si>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</si>
  <si>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</si>
  <si>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</si>
  <si>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</si>
  <si>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</si>
  <si>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</si>
  <si>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</si>
  <si>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</si>
  <si>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</si>
  <si>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</si>
  <si>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</si>
  <si>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</si>
  <si>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</si>
  <si>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</si>
  <si>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</si>
  <si>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</si>
  <si>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</si>
  <si>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</si>
  <si>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</si>
  <si>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</si>
  <si>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</si>
  <si>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</si>
  <si>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</si>
  <si>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</si>
  <si>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</si>
  <si>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</si>
  <si>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</si>
  <si>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</si>
  <si>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</si>
  <si>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</si>
  <si>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</si>
  <si>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</si>
  <si>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</si>
  <si>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</si>
  <si>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</si>
  <si>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</si>
  <si>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</si>
  <si>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</si>
  <si>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</si>
  <si>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</si>
  <si>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</si>
  <si>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</si>
  <si>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</si>
  <si>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</si>
  <si>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</si>
  <si>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</si>
  <si>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</si>
  <si>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</si>
  <si>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</si>
  <si>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</si>
  <si>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</si>
  <si>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</si>
  <si>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</si>
  <si>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</si>
  <si>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</si>
  <si>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</si>
  <si>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</si>
  <si>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</si>
  <si>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</si>
  <si>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</si>
  <si>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</si>
  <si>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</si>
  <si>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</si>
  <si>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</si>
  <si>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</si>
  <si>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</si>
  <si>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</si>
  <si>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</si>
  <si>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</si>
  <si>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</si>
  <si>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</si>
  <si>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</si>
  <si>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</si>
  <si>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</si>
  <si>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</si>
  <si>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</si>
  <si>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</si>
  <si>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</si>
  <si>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</si>
  <si>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</si>
  <si>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</si>
  <si>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</si>
  <si>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</si>
  <si>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</si>
  <si>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</si>
  <si>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</si>
  <si>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</si>
  <si>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</si>
  <si>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</si>
  <si>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</si>
  <si>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</si>
  <si>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</si>
  <si>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</si>
  <si>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</si>
  <si>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</si>
  <si>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</si>
  <si>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</si>
  <si>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</si>
  <si>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</si>
  <si>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</si>
  <si>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</si>
  <si>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</si>
  <si>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</si>
  <si>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</si>
  <si>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</si>
  <si>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</si>
  <si>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</si>
  <si>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skutečnost 03/2021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</si>
  <si>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</si>
  <si>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</si>
  <si>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</si>
  <si>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</si>
  <si>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</si>
  <si>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</si>
  <si>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</si>
  <si>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</si>
  <si>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</si>
  <si>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</si>
  <si>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>1. Plnění rozpočtu příjmů Olomouckého kraje k 31. 3. 2022</t>
  </si>
  <si>
    <t>2. Plnění rozpočtu výdajů Olomouckého kraje k 31. 3. 2022</t>
  </si>
  <si>
    <t>Bilance Olomouckého kraje k 31. 3. 2022 (bez konsolidace)</t>
  </si>
  <si>
    <t>Meziroční srovnání rozpočtu Olomouckého kraje k 31. 3. 2022 a 31.3.2021</t>
  </si>
  <si>
    <t>3. Financování Olomouckého kraje k 31. 3. 2022</t>
  </si>
  <si>
    <t xml:space="preserve">           běžné výdaje a ostatní dopočet</t>
  </si>
  <si>
    <t>skutečnost 03/2022</t>
  </si>
  <si>
    <t>Rekapitulace k 31. 3. 2022:</t>
  </si>
  <si>
    <t>Personální útvar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</si>
</sst>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9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9175386</c:v>
                </c:pt>
                <c:pt idx="1">
                  <c:v>9839798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4956400</c:v>
                </c:pt>
                <c:pt idx="1">
                  <c:v>4659658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9175386</c:v>
                </c:pt>
                <c:pt idx="1">
                  <c:v>9839798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4956400</c:v>
                </c:pt>
                <c:pt idx="1">
                  <c:v>4659658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9175386</c:v>
                </c:pt>
                <c:pt idx="1">
                  <c:v>9839798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4956400</c:v>
                </c:pt>
                <c:pt idx="1">
                  <c:v>4659658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N26" sqref="N26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9" customWidth="1"/>
    <col min="4" max="4" width="12.7109375" style="169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61" t="s">
        <v>153</v>
      </c>
      <c r="B1" s="361"/>
      <c r="C1" s="361"/>
      <c r="D1" s="361"/>
      <c r="E1" s="361"/>
      <c r="F1" s="361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3" t="s">
        <v>130</v>
      </c>
      <c r="C3" s="514"/>
      <c r="D3" s="514"/>
      <c r="E3" s="515"/>
      <c r="F3" s="371"/>
      <c r="G3" s="509" t="s">
        <v>131</v>
      </c>
      <c r="H3" s="510"/>
      <c r="I3" s="510"/>
      <c r="J3" s="511"/>
      <c r="K3" s="371"/>
      <c r="L3" s="506" t="s">
        <v>132</v>
      </c>
      <c r="M3" s="507"/>
      <c r="N3" s="507"/>
      <c r="O3" s="508"/>
    </row>
    <row r="4" spans="1:15" s="359" customFormat="1" ht="20.100000000000001" customHeight="1" x14ac:dyDescent="0.2">
      <c r="A4" s="396" t="s">
        <v>1</v>
      </c>
      <c r="B4" s="392" t="s">
        <v>11</v>
      </c>
      <c r="C4" s="392" t="s">
        <v>12</v>
      </c>
      <c r="D4" s="392" t="s">
        <v>4</v>
      </c>
      <c r="E4" s="393" t="s">
        <v>5</v>
      </c>
      <c r="F4" s="375"/>
      <c r="G4" s="398" t="s">
        <v>11</v>
      </c>
      <c r="H4" s="392" t="s">
        <v>12</v>
      </c>
      <c r="I4" s="392" t="s">
        <v>4</v>
      </c>
      <c r="J4" s="393" t="s">
        <v>5</v>
      </c>
      <c r="K4" s="375"/>
      <c r="L4" s="398" t="s">
        <v>11</v>
      </c>
      <c r="M4" s="392" t="s">
        <v>12</v>
      </c>
      <c r="N4" s="392" t="s">
        <v>4</v>
      </c>
      <c r="O4" s="393" t="s">
        <v>5</v>
      </c>
    </row>
    <row r="5" spans="1:15" s="4" customFormat="1" ht="12" thickBot="1" x14ac:dyDescent="0.25">
      <c r="A5" s="397">
        <v>1</v>
      </c>
      <c r="B5" s="355">
        <v>2</v>
      </c>
      <c r="C5" s="355">
        <v>3</v>
      </c>
      <c r="D5" s="355">
        <v>4</v>
      </c>
      <c r="E5" s="395" t="s">
        <v>95</v>
      </c>
      <c r="F5" s="376"/>
      <c r="G5" s="402">
        <v>6</v>
      </c>
      <c r="H5" s="403">
        <v>7</v>
      </c>
      <c r="I5" s="403">
        <v>8</v>
      </c>
      <c r="J5" s="404" t="s">
        <v>136</v>
      </c>
      <c r="K5" s="376"/>
      <c r="L5" s="406">
        <v>10</v>
      </c>
      <c r="M5" s="355">
        <v>11</v>
      </c>
      <c r="N5" s="355">
        <v>12</v>
      </c>
      <c r="O5" s="395" t="s">
        <v>139</v>
      </c>
    </row>
    <row r="6" spans="1:15" ht="15" thickTop="1" x14ac:dyDescent="0.2">
      <c r="A6" s="394" t="s">
        <v>148</v>
      </c>
      <c r="B6" s="494">
        <f>SUM(B7:B10)</f>
        <v>5244006</v>
      </c>
      <c r="C6" s="494">
        <f t="shared" ref="C6" si="0">SUM(C7:C10)</f>
        <v>5244006</v>
      </c>
      <c r="D6" s="494">
        <f>SUM(D7:D10)</f>
        <v>1327971</v>
      </c>
      <c r="E6" s="495">
        <f t="shared" ref="E6:E11" si="1">(D6/C6)*100</f>
        <v>25.323598027919875</v>
      </c>
      <c r="F6" s="377"/>
      <c r="G6" s="496">
        <f>G7+G8</f>
        <v>5210006</v>
      </c>
      <c r="H6" s="497">
        <f>H7+H8</f>
        <v>5210006</v>
      </c>
      <c r="I6" s="497">
        <f>I7+I8</f>
        <v>1323644</v>
      </c>
      <c r="J6" s="498">
        <f>(I6/H6)*100</f>
        <v>25.405805674695959</v>
      </c>
      <c r="K6" s="407"/>
      <c r="L6" s="496">
        <f>SUM(L7:L10)</f>
        <v>34000</v>
      </c>
      <c r="M6" s="497">
        <f>SUM(M7:M10)</f>
        <v>34000</v>
      </c>
      <c r="N6" s="497">
        <f>SUM(N7:N10)</f>
        <v>4327</v>
      </c>
      <c r="O6" s="498">
        <f>(N6/M6)*100</f>
        <v>12.726470588235294</v>
      </c>
    </row>
    <row r="7" spans="1:15" ht="14.25" x14ac:dyDescent="0.2">
      <c r="A7" s="457" t="s">
        <v>126</v>
      </c>
      <c r="B7" s="458">
        <f t="shared" ref="B7:D10" si="2">G7+L7</f>
        <v>5208841</v>
      </c>
      <c r="C7" s="458">
        <f t="shared" si="2"/>
        <v>5208841</v>
      </c>
      <c r="D7" s="499">
        <f t="shared" si="2"/>
        <v>1323237</v>
      </c>
      <c r="E7" s="500">
        <f t="shared" si="1"/>
        <v>25.403674253063208</v>
      </c>
      <c r="F7" s="377"/>
      <c r="G7" s="458">
        <f>858841+30000+120000+1100000+3100000</f>
        <v>5208841</v>
      </c>
      <c r="H7" s="458">
        <f>858841+30000+120000+1100000+3100000</f>
        <v>5208841</v>
      </c>
      <c r="I7" s="499">
        <f>223892+17166+41340+267866+772973</f>
        <v>1323237</v>
      </c>
      <c r="J7" s="500">
        <f>(I7/H7)*100</f>
        <v>25.403674253063208</v>
      </c>
      <c r="K7" s="407"/>
      <c r="L7" s="458">
        <v>0</v>
      </c>
      <c r="M7" s="458">
        <v>0</v>
      </c>
      <c r="N7" s="499">
        <v>0</v>
      </c>
      <c r="O7" s="500">
        <v>0</v>
      </c>
    </row>
    <row r="8" spans="1:15" ht="14.25" x14ac:dyDescent="0.2">
      <c r="A8" s="457" t="s">
        <v>127</v>
      </c>
      <c r="B8" s="458">
        <f t="shared" si="2"/>
        <v>1165</v>
      </c>
      <c r="C8" s="458">
        <f t="shared" si="2"/>
        <v>1165</v>
      </c>
      <c r="D8" s="499">
        <f t="shared" si="2"/>
        <v>407</v>
      </c>
      <c r="E8" s="500">
        <f t="shared" si="1"/>
        <v>34.935622317596568</v>
      </c>
      <c r="F8" s="377"/>
      <c r="G8" s="458">
        <v>1165</v>
      </c>
      <c r="H8" s="458">
        <v>1165</v>
      </c>
      <c r="I8" s="499">
        <v>407</v>
      </c>
      <c r="J8" s="500">
        <f>(I8/H8)*100</f>
        <v>34.935622317596568</v>
      </c>
      <c r="K8" s="407"/>
      <c r="L8" s="458">
        <v>0</v>
      </c>
      <c r="M8" s="458">
        <v>0</v>
      </c>
      <c r="N8" s="499">
        <v>0</v>
      </c>
      <c r="O8" s="500">
        <v>0</v>
      </c>
    </row>
    <row r="9" spans="1:15" ht="14.25" x14ac:dyDescent="0.2">
      <c r="A9" s="459" t="s">
        <v>144</v>
      </c>
      <c r="B9" s="458">
        <f t="shared" si="2"/>
        <v>4000</v>
      </c>
      <c r="C9" s="458">
        <f t="shared" si="2"/>
        <v>4000</v>
      </c>
      <c r="D9" s="458">
        <f t="shared" si="2"/>
        <v>1141</v>
      </c>
      <c r="E9" s="500">
        <f>(D9/C9)*100</f>
        <v>28.524999999999999</v>
      </c>
      <c r="F9" s="377"/>
      <c r="G9" s="458">
        <v>0</v>
      </c>
      <c r="H9" s="458">
        <v>0</v>
      </c>
      <c r="I9" s="499">
        <v>0</v>
      </c>
      <c r="J9" s="500">
        <v>0</v>
      </c>
      <c r="K9" s="407"/>
      <c r="L9" s="458">
        <v>4000</v>
      </c>
      <c r="M9" s="458">
        <v>4000</v>
      </c>
      <c r="N9" s="499">
        <v>1141</v>
      </c>
      <c r="O9" s="500">
        <f>(N9/M9)*100</f>
        <v>28.524999999999999</v>
      </c>
    </row>
    <row r="10" spans="1:15" ht="14.25" x14ac:dyDescent="0.2">
      <c r="A10" s="460" t="s">
        <v>145</v>
      </c>
      <c r="B10" s="458">
        <f t="shared" si="2"/>
        <v>30000</v>
      </c>
      <c r="C10" s="458">
        <f t="shared" si="2"/>
        <v>30000</v>
      </c>
      <c r="D10" s="458">
        <f t="shared" si="2"/>
        <v>3186</v>
      </c>
      <c r="E10" s="500">
        <f t="shared" si="1"/>
        <v>10.620000000000001</v>
      </c>
      <c r="F10" s="377"/>
      <c r="G10" s="458">
        <v>0</v>
      </c>
      <c r="H10" s="458">
        <v>0</v>
      </c>
      <c r="I10" s="499">
        <v>0</v>
      </c>
      <c r="J10" s="500">
        <v>0</v>
      </c>
      <c r="K10" s="407"/>
      <c r="L10" s="458">
        <v>30000</v>
      </c>
      <c r="M10" s="458">
        <v>30000</v>
      </c>
      <c r="N10" s="499">
        <v>3186</v>
      </c>
      <c r="O10" s="500">
        <f>(N10/M10)*100</f>
        <v>10.620000000000001</v>
      </c>
    </row>
    <row r="11" spans="1:15" ht="14.25" x14ac:dyDescent="0.2">
      <c r="A11" s="394" t="s">
        <v>149</v>
      </c>
      <c r="B11" s="453">
        <v>473010</v>
      </c>
      <c r="C11" s="453">
        <v>500138</v>
      </c>
      <c r="D11" s="453">
        <v>168788</v>
      </c>
      <c r="E11" s="487">
        <f t="shared" si="1"/>
        <v>33.748285473209393</v>
      </c>
      <c r="F11" s="377"/>
      <c r="G11" s="488">
        <f>B11-L11</f>
        <v>473010</v>
      </c>
      <c r="H11" s="453">
        <f>C11-M11</f>
        <v>483061</v>
      </c>
      <c r="I11" s="453">
        <f>D11-N11</f>
        <v>151447</v>
      </c>
      <c r="J11" s="462">
        <f t="shared" ref="J11" si="3">(I11/H11)*100</f>
        <v>31.351527032817799</v>
      </c>
      <c r="K11" s="407"/>
      <c r="L11" s="488">
        <v>0</v>
      </c>
      <c r="M11" s="453">
        <v>17077</v>
      </c>
      <c r="N11" s="453">
        <v>17341</v>
      </c>
      <c r="O11" s="487">
        <f>(N11/M11)*100</f>
        <v>101.54593898225683</v>
      </c>
    </row>
    <row r="12" spans="1:15" ht="14.25" x14ac:dyDescent="0.2">
      <c r="A12" s="384" t="s">
        <v>103</v>
      </c>
      <c r="B12" s="453">
        <f>G12+L12</f>
        <v>9005</v>
      </c>
      <c r="C12" s="453">
        <f t="shared" ref="C12:D12" si="4">H12+M12</f>
        <v>9005</v>
      </c>
      <c r="D12" s="453">
        <f t="shared" si="4"/>
        <v>35</v>
      </c>
      <c r="E12" s="487">
        <f t="shared" ref="E12:E16" si="5">(D12/C12)*100</f>
        <v>0.38867295946696279</v>
      </c>
      <c r="F12" s="377"/>
      <c r="G12" s="399">
        <v>9005</v>
      </c>
      <c r="H12" s="347">
        <v>9005</v>
      </c>
      <c r="I12" s="347">
        <v>35</v>
      </c>
      <c r="J12" s="462">
        <f t="shared" ref="J12:J16" si="6">(I12/H12)*100</f>
        <v>0.38867295946696279</v>
      </c>
      <c r="K12" s="407"/>
      <c r="L12" s="399">
        <v>0</v>
      </c>
      <c r="M12" s="347">
        <v>0</v>
      </c>
      <c r="N12" s="347">
        <v>0</v>
      </c>
      <c r="O12" s="504">
        <v>0</v>
      </c>
    </row>
    <row r="13" spans="1:15" ht="14.25" x14ac:dyDescent="0.2">
      <c r="A13" s="384" t="s">
        <v>150</v>
      </c>
      <c r="B13" s="453">
        <f>G13+L13</f>
        <v>184834</v>
      </c>
      <c r="C13" s="453">
        <f>H13+M13</f>
        <v>3422237</v>
      </c>
      <c r="D13" s="453">
        <f>I13+N13</f>
        <v>3459606</v>
      </c>
      <c r="E13" s="487">
        <f t="shared" si="5"/>
        <v>101.09194658347742</v>
      </c>
      <c r="F13" s="377"/>
      <c r="G13" s="399">
        <f>G14+G15</f>
        <v>184834</v>
      </c>
      <c r="H13" s="347">
        <f>H14+H15</f>
        <v>210025</v>
      </c>
      <c r="I13" s="347">
        <f>I14+I15</f>
        <v>69685</v>
      </c>
      <c r="J13" s="462">
        <f t="shared" si="6"/>
        <v>33.179383406737294</v>
      </c>
      <c r="K13" s="407"/>
      <c r="L13" s="399">
        <f>L14+L15</f>
        <v>0</v>
      </c>
      <c r="M13" s="347">
        <f>M14+M15</f>
        <v>3212212</v>
      </c>
      <c r="N13" s="347">
        <f>N14+N15</f>
        <v>3389921</v>
      </c>
      <c r="O13" s="504">
        <f>(N13/M13)*100</f>
        <v>105.53229363441766</v>
      </c>
    </row>
    <row r="14" spans="1:15" s="452" customFormat="1" ht="14.25" x14ac:dyDescent="0.2">
      <c r="A14" s="363" t="s">
        <v>141</v>
      </c>
      <c r="B14" s="458">
        <f>G14+L14</f>
        <v>128384</v>
      </c>
      <c r="C14" s="458">
        <f t="shared" ref="C14:D15" si="7">H14+M14</f>
        <v>3317014</v>
      </c>
      <c r="D14" s="458">
        <f t="shared" si="7"/>
        <v>3406557</v>
      </c>
      <c r="E14" s="501">
        <f t="shared" si="5"/>
        <v>102.69950624266282</v>
      </c>
      <c r="F14" s="450"/>
      <c r="G14" s="502">
        <f>128384</f>
        <v>128384</v>
      </c>
      <c r="H14" s="503">
        <f>128384+150</f>
        <v>128534</v>
      </c>
      <c r="I14" s="503">
        <f>32096+100+150+14718</f>
        <v>47064</v>
      </c>
      <c r="J14" s="463">
        <f t="shared" si="6"/>
        <v>36.615992655639751</v>
      </c>
      <c r="K14" s="451"/>
      <c r="L14" s="502">
        <v>0</v>
      </c>
      <c r="M14" s="503">
        <f>150+3188330</f>
        <v>3188480</v>
      </c>
      <c r="N14" s="503">
        <f>150+3359343</f>
        <v>3359493</v>
      </c>
      <c r="O14" s="505">
        <f>(N14/M14)*100</f>
        <v>105.36346472300282</v>
      </c>
    </row>
    <row r="15" spans="1:15" s="452" customFormat="1" ht="15" thickBot="1" x14ac:dyDescent="0.25">
      <c r="A15" s="390" t="s">
        <v>142</v>
      </c>
      <c r="B15" s="458">
        <f>G15+L15</f>
        <v>56450</v>
      </c>
      <c r="C15" s="458">
        <f t="shared" si="7"/>
        <v>105223</v>
      </c>
      <c r="D15" s="458">
        <f t="shared" si="7"/>
        <v>53049</v>
      </c>
      <c r="E15" s="501">
        <f t="shared" si="5"/>
        <v>50.415783621451581</v>
      </c>
      <c r="F15" s="450"/>
      <c r="G15" s="464">
        <f>3875+51000+1575</f>
        <v>56450</v>
      </c>
      <c r="H15" s="465">
        <f>3875+51809+20602+5205</f>
        <v>81491</v>
      </c>
      <c r="I15" s="465">
        <f>127+1083+809+20602</f>
        <v>22621</v>
      </c>
      <c r="J15" s="463">
        <f t="shared" si="6"/>
        <v>27.758893620154375</v>
      </c>
      <c r="K15" s="451"/>
      <c r="L15" s="464">
        <v>0</v>
      </c>
      <c r="M15" s="465">
        <f>2099+1202+20431</f>
        <v>23732</v>
      </c>
      <c r="N15" s="465">
        <f>1202+20895+8331</f>
        <v>30428</v>
      </c>
      <c r="O15" s="505">
        <f>(N15/M15)*100</f>
        <v>128.21506826226192</v>
      </c>
    </row>
    <row r="16" spans="1:15" ht="18.95" customHeight="1" thickTop="1" thickBot="1" x14ac:dyDescent="0.3">
      <c r="A16" s="454" t="s">
        <v>8</v>
      </c>
      <c r="B16" s="455">
        <f>B6+B11+B12+B13</f>
        <v>5910855</v>
      </c>
      <c r="C16" s="455">
        <f>C6+C11+C12+C13</f>
        <v>9175386</v>
      </c>
      <c r="D16" s="455">
        <f>D6+D11+D12+D13</f>
        <v>4956400</v>
      </c>
      <c r="E16" s="456">
        <f t="shared" si="5"/>
        <v>54.018435845641811</v>
      </c>
      <c r="F16" s="378"/>
      <c r="G16" s="368">
        <f>G6+G11+G12+G13</f>
        <v>5876855</v>
      </c>
      <c r="H16" s="368">
        <f>H6+H11+H12+H13</f>
        <v>5912097</v>
      </c>
      <c r="I16" s="368">
        <f>I6+I11+I12+I13</f>
        <v>1544811</v>
      </c>
      <c r="J16" s="369">
        <f t="shared" si="6"/>
        <v>26.129662622247235</v>
      </c>
      <c r="K16" s="378"/>
      <c r="L16" s="370">
        <f>L6+L11+L12+L13</f>
        <v>34000</v>
      </c>
      <c r="M16" s="370">
        <f t="shared" ref="M16:N16" si="8">M6+M11+M12+M13</f>
        <v>3263289</v>
      </c>
      <c r="N16" s="370">
        <f t="shared" si="8"/>
        <v>3411589</v>
      </c>
      <c r="O16" s="369">
        <f>(N16/M16)*100</f>
        <v>104.54449483328017</v>
      </c>
    </row>
    <row r="17" spans="1:15" ht="13.5" thickBot="1" x14ac:dyDescent="0.25">
      <c r="A17" s="413"/>
      <c r="B17" s="413"/>
      <c r="C17" s="414"/>
      <c r="D17" s="414"/>
      <c r="E17" s="413"/>
      <c r="F17" s="381"/>
      <c r="G17" s="401"/>
      <c r="H17" s="401"/>
      <c r="I17" s="401"/>
      <c r="J17" s="401"/>
      <c r="K17" s="13"/>
      <c r="L17" s="401"/>
      <c r="M17" s="401"/>
      <c r="N17" s="401"/>
      <c r="O17" s="401"/>
    </row>
    <row r="18" spans="1:15" ht="20.100000000000001" customHeight="1" x14ac:dyDescent="0.2">
      <c r="A18" s="396" t="s">
        <v>91</v>
      </c>
      <c r="B18" s="410" t="s">
        <v>11</v>
      </c>
      <c r="C18" s="410" t="s">
        <v>12</v>
      </c>
      <c r="D18" s="410" t="s">
        <v>4</v>
      </c>
      <c r="E18" s="411" t="s">
        <v>5</v>
      </c>
      <c r="F18" s="379"/>
      <c r="G18" s="412" t="s">
        <v>11</v>
      </c>
      <c r="H18" s="410" t="s">
        <v>12</v>
      </c>
      <c r="I18" s="410" t="s">
        <v>4</v>
      </c>
      <c r="J18" s="411" t="s">
        <v>5</v>
      </c>
      <c r="K18" s="379"/>
      <c r="L18" s="412" t="s">
        <v>11</v>
      </c>
      <c r="M18" s="410" t="s">
        <v>12</v>
      </c>
      <c r="N18" s="410" t="s">
        <v>4</v>
      </c>
      <c r="O18" s="411" t="s">
        <v>5</v>
      </c>
    </row>
    <row r="19" spans="1:15" ht="13.5" thickBot="1" x14ac:dyDescent="0.25">
      <c r="A19" s="397">
        <v>1</v>
      </c>
      <c r="B19" s="355">
        <v>2</v>
      </c>
      <c r="C19" s="355">
        <v>3</v>
      </c>
      <c r="D19" s="355">
        <v>4</v>
      </c>
      <c r="E19" s="395" t="s">
        <v>95</v>
      </c>
      <c r="F19" s="380"/>
      <c r="G19" s="406">
        <v>6</v>
      </c>
      <c r="H19" s="355">
        <v>7</v>
      </c>
      <c r="I19" s="355">
        <v>8</v>
      </c>
      <c r="J19" s="395" t="s">
        <v>136</v>
      </c>
      <c r="K19" s="380"/>
      <c r="L19" s="406">
        <v>10</v>
      </c>
      <c r="M19" s="355">
        <v>11</v>
      </c>
      <c r="N19" s="355">
        <v>12</v>
      </c>
      <c r="O19" s="395" t="s">
        <v>139</v>
      </c>
    </row>
    <row r="20" spans="1:15" s="360" customFormat="1" ht="15.75" thickTop="1" x14ac:dyDescent="0.25">
      <c r="A20" s="443" t="s">
        <v>112</v>
      </c>
      <c r="B20" s="356">
        <f>5155265-11315</f>
        <v>5143950</v>
      </c>
      <c r="C20" s="356">
        <f>8487757-11315</f>
        <v>8476442</v>
      </c>
      <c r="D20" s="356">
        <f>9301415-4769459</f>
        <v>4531956</v>
      </c>
      <c r="E20" s="391">
        <f t="shared" ref="E20:E27" si="9">(D20/C20)*100</f>
        <v>53.465310091191562</v>
      </c>
      <c r="F20" s="378"/>
      <c r="G20" s="356">
        <f>B20-L20</f>
        <v>5132622</v>
      </c>
      <c r="H20" s="356">
        <f>C20-M20</f>
        <v>5167440</v>
      </c>
      <c r="I20" s="356">
        <f>D20-N20</f>
        <v>1417986</v>
      </c>
      <c r="J20" s="391">
        <f t="shared" ref="J20:J27" si="10">(I20/H20)*100</f>
        <v>27.440783056987598</v>
      </c>
      <c r="K20" s="378"/>
      <c r="L20" s="430">
        <f>SUM(L21:L25)</f>
        <v>11328</v>
      </c>
      <c r="M20" s="356">
        <f t="shared" ref="M20:N20" si="11">SUM(M21:M25)</f>
        <v>3309002</v>
      </c>
      <c r="N20" s="356">
        <f t="shared" si="11"/>
        <v>3113970</v>
      </c>
      <c r="O20" s="391">
        <f>(N20/M20)*100</f>
        <v>94.106017463875816</v>
      </c>
    </row>
    <row r="21" spans="1:15" ht="14.25" x14ac:dyDescent="0.2">
      <c r="A21" s="363" t="s">
        <v>137</v>
      </c>
      <c r="B21" s="458">
        <f>G21+L21</f>
        <v>424619</v>
      </c>
      <c r="C21" s="458">
        <f>H21+M21</f>
        <v>347810</v>
      </c>
      <c r="D21" s="458">
        <f>I21+N21</f>
        <v>46866</v>
      </c>
      <c r="E21" s="408">
        <f t="shared" si="9"/>
        <v>13.474598200166756</v>
      </c>
      <c r="F21" s="373"/>
      <c r="G21" s="461">
        <v>413291</v>
      </c>
      <c r="H21" s="458">
        <v>336482</v>
      </c>
      <c r="I21" s="458">
        <v>44043</v>
      </c>
      <c r="J21" s="493">
        <f t="shared" si="10"/>
        <v>13.089258860800875</v>
      </c>
      <c r="K21" s="389"/>
      <c r="L21" s="461">
        <v>11328</v>
      </c>
      <c r="M21" s="458">
        <v>11328</v>
      </c>
      <c r="N21" s="458">
        <v>2823</v>
      </c>
      <c r="O21" s="493">
        <f>(N21/M21)*100</f>
        <v>24.920550847457626</v>
      </c>
    </row>
    <row r="22" spans="1:15" ht="14.25" x14ac:dyDescent="0.2">
      <c r="A22" s="363" t="s">
        <v>128</v>
      </c>
      <c r="B22" s="458">
        <f>G22+L22</f>
        <v>1972267</v>
      </c>
      <c r="C22" s="458">
        <f t="shared" ref="C22:D25" si="12">H22+M22</f>
        <v>2046090</v>
      </c>
      <c r="D22" s="458">
        <f t="shared" si="12"/>
        <v>720131</v>
      </c>
      <c r="E22" s="408">
        <f t="shared" si="9"/>
        <v>35.195470384978179</v>
      </c>
      <c r="F22" s="373"/>
      <c r="G22" s="461">
        <v>1972267</v>
      </c>
      <c r="H22" s="458">
        <v>2046090</v>
      </c>
      <c r="I22" s="458">
        <v>720131</v>
      </c>
      <c r="J22" s="493">
        <f t="shared" si="10"/>
        <v>35.195470384978179</v>
      </c>
      <c r="K22" s="389"/>
      <c r="L22" s="461">
        <v>0</v>
      </c>
      <c r="M22" s="458">
        <v>0</v>
      </c>
      <c r="N22" s="458">
        <v>0</v>
      </c>
      <c r="O22" s="493">
        <v>0</v>
      </c>
    </row>
    <row r="23" spans="1:15" ht="14.25" customHeight="1" x14ac:dyDescent="0.2">
      <c r="A23" s="364" t="s">
        <v>138</v>
      </c>
      <c r="B23" s="458">
        <f>G23+L23</f>
        <v>1627806</v>
      </c>
      <c r="C23" s="458">
        <f t="shared" si="12"/>
        <v>1627870</v>
      </c>
      <c r="D23" s="458">
        <f t="shared" si="12"/>
        <v>483375</v>
      </c>
      <c r="E23" s="408">
        <f t="shared" si="9"/>
        <v>29.693710185702788</v>
      </c>
      <c r="F23" s="373"/>
      <c r="G23" s="461">
        <v>1627806</v>
      </c>
      <c r="H23" s="458">
        <v>1627870</v>
      </c>
      <c r="I23" s="458">
        <v>483375</v>
      </c>
      <c r="J23" s="493">
        <f t="shared" si="10"/>
        <v>29.693710185702788</v>
      </c>
      <c r="K23" s="389"/>
      <c r="L23" s="461">
        <v>0</v>
      </c>
      <c r="M23" s="458">
        <v>0</v>
      </c>
      <c r="N23" s="458">
        <v>0</v>
      </c>
      <c r="O23" s="493">
        <v>0</v>
      </c>
    </row>
    <row r="24" spans="1:15" ht="14.25" x14ac:dyDescent="0.2">
      <c r="A24" s="363" t="s">
        <v>146</v>
      </c>
      <c r="B24" s="458">
        <f>G24+L24</f>
        <v>403685</v>
      </c>
      <c r="C24" s="458">
        <f t="shared" si="12"/>
        <v>409917</v>
      </c>
      <c r="D24" s="458">
        <f t="shared" si="12"/>
        <v>57673</v>
      </c>
      <c r="E24" s="408">
        <f t="shared" si="9"/>
        <v>14.06943356825894</v>
      </c>
      <c r="F24" s="373"/>
      <c r="G24" s="461">
        <f>399299+4386</f>
        <v>403685</v>
      </c>
      <c r="H24" s="458">
        <f>399994+3797</f>
        <v>403791</v>
      </c>
      <c r="I24" s="458">
        <f>56251+433</f>
        <v>56684</v>
      </c>
      <c r="J24" s="493">
        <f t="shared" si="10"/>
        <v>14.037955278844748</v>
      </c>
      <c r="K24" s="389"/>
      <c r="L24" s="461">
        <f>4386-4386</f>
        <v>0</v>
      </c>
      <c r="M24" s="458">
        <f>9923-3797</f>
        <v>6126</v>
      </c>
      <c r="N24" s="458">
        <f>1422-433</f>
        <v>989</v>
      </c>
      <c r="O24" s="493">
        <f>(N24/M24)*100</f>
        <v>16.144302970943521</v>
      </c>
    </row>
    <row r="25" spans="1:15" ht="14.25" x14ac:dyDescent="0.2">
      <c r="A25" s="363" t="s">
        <v>156</v>
      </c>
      <c r="B25" s="458">
        <f>G25+L25</f>
        <v>715573</v>
      </c>
      <c r="C25" s="458">
        <f t="shared" si="12"/>
        <v>4044755</v>
      </c>
      <c r="D25" s="458">
        <f t="shared" si="12"/>
        <v>3223911</v>
      </c>
      <c r="E25" s="408">
        <f t="shared" si="9"/>
        <v>79.705964885388596</v>
      </c>
      <c r="F25" s="373"/>
      <c r="G25" s="458">
        <f>G20-G21-G22-G23-G24</f>
        <v>715573</v>
      </c>
      <c r="H25" s="458">
        <f>H20-H21-H22-H23-H24</f>
        <v>753207</v>
      </c>
      <c r="I25" s="458">
        <f>I20-I21-I22-I23-I24</f>
        <v>113753</v>
      </c>
      <c r="J25" s="409">
        <f t="shared" si="10"/>
        <v>15.102488426156421</v>
      </c>
      <c r="K25" s="388"/>
      <c r="L25" s="461">
        <v>0</v>
      </c>
      <c r="M25" s="458">
        <f>3272285+25389-M24</f>
        <v>3291548</v>
      </c>
      <c r="N25" s="458">
        <f>3085758+25389-N24</f>
        <v>3110158</v>
      </c>
      <c r="O25" s="409">
        <f>(N25/M25)*100</f>
        <v>94.489219054378054</v>
      </c>
    </row>
    <row r="26" spans="1:15" s="360" customFormat="1" ht="21.75" customHeight="1" thickBot="1" x14ac:dyDescent="0.3">
      <c r="A26" s="444" t="s">
        <v>113</v>
      </c>
      <c r="B26" s="415">
        <v>1208564</v>
      </c>
      <c r="C26" s="415">
        <v>1363356</v>
      </c>
      <c r="D26" s="415">
        <v>127702</v>
      </c>
      <c r="E26" s="387">
        <f t="shared" si="9"/>
        <v>9.3667391348994684</v>
      </c>
      <c r="F26" s="372"/>
      <c r="G26" s="400">
        <f>B26-L26</f>
        <v>1174264</v>
      </c>
      <c r="H26" s="416">
        <f>C26-M26</f>
        <v>1263687</v>
      </c>
      <c r="I26" s="416">
        <f>D26-N26</f>
        <v>82488</v>
      </c>
      <c r="J26" s="387">
        <f t="shared" si="10"/>
        <v>6.527565765889813</v>
      </c>
      <c r="K26" s="372"/>
      <c r="L26" s="417">
        <f>34300+0</f>
        <v>34300</v>
      </c>
      <c r="M26" s="415">
        <f>1202+20431+2099+458+7110+34069+34300</f>
        <v>99669</v>
      </c>
      <c r="N26" s="415">
        <f>1202+20431+0+0+2557+21024+0</f>
        <v>45214</v>
      </c>
      <c r="O26" s="387">
        <f>(N26/M26)*100</f>
        <v>45.364155354222476</v>
      </c>
    </row>
    <row r="27" spans="1:15" ht="16.5" thickTop="1" thickBot="1" x14ac:dyDescent="0.25">
      <c r="A27" s="365" t="s">
        <v>134</v>
      </c>
      <c r="B27" s="366">
        <f>B26+B20</f>
        <v>6352514</v>
      </c>
      <c r="C27" s="366">
        <f>C26+C20</f>
        <v>9839798</v>
      </c>
      <c r="D27" s="366">
        <f>D26+D20</f>
        <v>4659658</v>
      </c>
      <c r="E27" s="382">
        <f t="shared" si="9"/>
        <v>47.355220096997925</v>
      </c>
      <c r="F27" s="374"/>
      <c r="G27" s="422">
        <f>G26+G20</f>
        <v>6306886</v>
      </c>
      <c r="H27" s="423">
        <f>H26+H20</f>
        <v>6431127</v>
      </c>
      <c r="I27" s="423">
        <f>I26+I20</f>
        <v>1500474</v>
      </c>
      <c r="J27" s="424">
        <f t="shared" si="10"/>
        <v>23.33143164487344</v>
      </c>
      <c r="K27" s="374"/>
      <c r="L27" s="447">
        <f>L26+L20</f>
        <v>45628</v>
      </c>
      <c r="M27" s="366">
        <f>M26+M20</f>
        <v>3408671</v>
      </c>
      <c r="N27" s="366">
        <f>N26+N20</f>
        <v>3159184</v>
      </c>
      <c r="O27" s="382">
        <f>(N27/M27)*100</f>
        <v>92.680813138023581</v>
      </c>
    </row>
    <row r="28" spans="1:15" ht="13.5" thickBot="1" x14ac:dyDescent="0.25">
      <c r="A28" s="401"/>
      <c r="B28" s="401"/>
      <c r="C28" s="421"/>
      <c r="D28" s="421"/>
      <c r="E28" s="401"/>
      <c r="F28" s="13"/>
      <c r="G28" s="401"/>
      <c r="H28" s="421"/>
      <c r="I28" s="421"/>
      <c r="J28" s="401"/>
      <c r="K28" s="13"/>
      <c r="L28" s="401"/>
      <c r="M28" s="421"/>
      <c r="N28" s="421"/>
      <c r="O28" s="401"/>
    </row>
    <row r="29" spans="1:15" ht="15.75" thickBot="1" x14ac:dyDescent="0.25">
      <c r="A29" s="418" t="s">
        <v>143</v>
      </c>
      <c r="B29" s="419">
        <f>B27-B16</f>
        <v>441659</v>
      </c>
      <c r="C29" s="419">
        <f>C27-C16</f>
        <v>664412</v>
      </c>
      <c r="D29" s="419">
        <f>D27-D16</f>
        <v>-296742</v>
      </c>
      <c r="E29" s="420"/>
      <c r="F29" s="374"/>
      <c r="G29" s="425">
        <f>G27-G16</f>
        <v>430031</v>
      </c>
      <c r="H29" s="419">
        <f>H27-H16</f>
        <v>519030</v>
      </c>
      <c r="I29" s="419">
        <f>I27-I16</f>
        <v>-44337</v>
      </c>
      <c r="J29" s="420"/>
      <c r="K29" s="374"/>
      <c r="L29" s="426">
        <f>L27-L16</f>
        <v>11628</v>
      </c>
      <c r="M29" s="427">
        <f>M27-M16</f>
        <v>145382</v>
      </c>
      <c r="N29" s="427">
        <f>N27-N16</f>
        <v>-252405</v>
      </c>
      <c r="O29" s="428"/>
    </row>
    <row r="31" spans="1:15" ht="20.25" x14ac:dyDescent="0.3">
      <c r="A31" s="361" t="s">
        <v>154</v>
      </c>
      <c r="B31" s="361"/>
      <c r="C31" s="361"/>
      <c r="D31" s="361"/>
      <c r="E31" s="361"/>
      <c r="F31" s="361"/>
    </row>
    <row r="32" spans="1:15" ht="15" thickBot="1" x14ac:dyDescent="0.25">
      <c r="A32" s="512"/>
      <c r="B32" s="512"/>
      <c r="C32" s="512"/>
      <c r="D32" s="512"/>
      <c r="E32" s="512"/>
      <c r="F32" s="357"/>
      <c r="N32" s="2" t="s">
        <v>0</v>
      </c>
    </row>
    <row r="33" spans="1:14" ht="17.100000000000001" customHeight="1" thickBot="1" x14ac:dyDescent="0.25">
      <c r="B33" s="506" t="s">
        <v>130</v>
      </c>
      <c r="C33" s="507"/>
      <c r="D33" s="508"/>
      <c r="G33" s="506" t="s">
        <v>131</v>
      </c>
      <c r="H33" s="507"/>
      <c r="I33" s="508"/>
      <c r="L33" s="506" t="s">
        <v>132</v>
      </c>
      <c r="M33" s="507"/>
      <c r="N33" s="508"/>
    </row>
    <row r="34" spans="1:14" ht="20.100000000000001" customHeight="1" thickBot="1" x14ac:dyDescent="0.25">
      <c r="A34" s="396" t="s">
        <v>1</v>
      </c>
      <c r="B34" s="432" t="s">
        <v>140</v>
      </c>
      <c r="C34" s="432" t="s">
        <v>157</v>
      </c>
      <c r="D34" s="433" t="s">
        <v>133</v>
      </c>
      <c r="G34" s="431" t="s">
        <v>140</v>
      </c>
      <c r="H34" s="432" t="s">
        <v>157</v>
      </c>
      <c r="I34" s="433" t="s">
        <v>133</v>
      </c>
      <c r="L34" s="431" t="s">
        <v>140</v>
      </c>
      <c r="M34" s="432" t="s">
        <v>157</v>
      </c>
      <c r="N34" s="433" t="s">
        <v>133</v>
      </c>
    </row>
    <row r="35" spans="1:14" ht="15" thickTop="1" x14ac:dyDescent="0.2">
      <c r="A35" s="429" t="s">
        <v>101</v>
      </c>
      <c r="B35" s="345">
        <v>1252231</v>
      </c>
      <c r="C35" s="344">
        <f>D6</f>
        <v>1327971</v>
      </c>
      <c r="D35" s="383">
        <f t="shared" ref="D35:D41" si="13">(C35/B35)*100</f>
        <v>106.0484048071003</v>
      </c>
      <c r="G35" s="430">
        <v>1250968</v>
      </c>
      <c r="H35" s="356">
        <f>I6</f>
        <v>1323644</v>
      </c>
      <c r="I35" s="391">
        <f t="shared" ref="I35:I41" si="14">(H35/G35)*100</f>
        <v>105.80958106042682</v>
      </c>
      <c r="L35" s="405">
        <v>1263</v>
      </c>
      <c r="M35" s="344">
        <f>N6</f>
        <v>4327</v>
      </c>
      <c r="N35" s="383">
        <f>(M35/L35)*100</f>
        <v>342.59699129057799</v>
      </c>
    </row>
    <row r="36" spans="1:14" ht="14.25" x14ac:dyDescent="0.2">
      <c r="A36" s="384" t="s">
        <v>102</v>
      </c>
      <c r="B36" s="346">
        <v>232276</v>
      </c>
      <c r="C36" s="347">
        <f>D11</f>
        <v>168788</v>
      </c>
      <c r="D36" s="385">
        <f t="shared" si="13"/>
        <v>72.666999603919479</v>
      </c>
      <c r="G36" s="399">
        <v>216180</v>
      </c>
      <c r="H36" s="347">
        <f>I11</f>
        <v>151447</v>
      </c>
      <c r="I36" s="385">
        <f t="shared" si="14"/>
        <v>70.055971875289117</v>
      </c>
      <c r="L36" s="399">
        <v>16096</v>
      </c>
      <c r="M36" s="347">
        <f>N11</f>
        <v>17341</v>
      </c>
      <c r="N36" s="385">
        <f t="shared" ref="N36" si="15">(M36/L36)*100</f>
        <v>107.73484095427435</v>
      </c>
    </row>
    <row r="37" spans="1:14" ht="14.25" x14ac:dyDescent="0.2">
      <c r="A37" s="386" t="s">
        <v>103</v>
      </c>
      <c r="B37" s="346">
        <v>48</v>
      </c>
      <c r="C37" s="347">
        <f>D12</f>
        <v>35</v>
      </c>
      <c r="D37" s="385">
        <f t="shared" si="13"/>
        <v>72.916666666666657</v>
      </c>
      <c r="G37" s="399">
        <v>48</v>
      </c>
      <c r="H37" s="347">
        <f>I12</f>
        <v>35</v>
      </c>
      <c r="I37" s="385">
        <f t="shared" si="14"/>
        <v>72.916666666666657</v>
      </c>
      <c r="L37" s="399">
        <v>0</v>
      </c>
      <c r="M37" s="347">
        <f>N12</f>
        <v>0</v>
      </c>
      <c r="N37" s="385">
        <v>0</v>
      </c>
    </row>
    <row r="38" spans="1:14" ht="14.25" x14ac:dyDescent="0.2">
      <c r="A38" s="384" t="s">
        <v>104</v>
      </c>
      <c r="B38" s="346">
        <v>4833951</v>
      </c>
      <c r="C38" s="347">
        <f>D13</f>
        <v>3459606</v>
      </c>
      <c r="D38" s="385">
        <f t="shared" si="13"/>
        <v>71.568909159401912</v>
      </c>
      <c r="G38" s="399">
        <v>205266</v>
      </c>
      <c r="H38" s="347">
        <f>I13</f>
        <v>69685</v>
      </c>
      <c r="I38" s="385">
        <f t="shared" si="14"/>
        <v>33.948632506114016</v>
      </c>
      <c r="L38" s="399">
        <v>4628685</v>
      </c>
      <c r="M38" s="347">
        <f>N13</f>
        <v>3389921</v>
      </c>
      <c r="N38" s="385">
        <f t="shared" ref="N38:N40" si="16">(M38/L38)*100</f>
        <v>73.237236925822344</v>
      </c>
    </row>
    <row r="39" spans="1:14" ht="14.25" x14ac:dyDescent="0.2">
      <c r="A39" s="363" t="s">
        <v>141</v>
      </c>
      <c r="B39" s="458">
        <v>4634933</v>
      </c>
      <c r="C39" s="458">
        <f>D14</f>
        <v>3406557</v>
      </c>
      <c r="D39" s="408">
        <f t="shared" si="13"/>
        <v>73.497437827040869</v>
      </c>
      <c r="G39" s="461">
        <v>40986</v>
      </c>
      <c r="H39" s="458">
        <f>I14</f>
        <v>47064</v>
      </c>
      <c r="I39" s="408">
        <f t="shared" si="14"/>
        <v>114.82945395988875</v>
      </c>
      <c r="L39" s="461">
        <v>4593947</v>
      </c>
      <c r="M39" s="458">
        <f>N14</f>
        <v>3359493</v>
      </c>
      <c r="N39" s="408">
        <f t="shared" si="16"/>
        <v>73.128684331795739</v>
      </c>
    </row>
    <row r="40" spans="1:14" ht="15" thickBot="1" x14ac:dyDescent="0.25">
      <c r="A40" s="390" t="s">
        <v>142</v>
      </c>
      <c r="B40" s="467">
        <v>199018</v>
      </c>
      <c r="C40" s="467">
        <f>D15</f>
        <v>53049</v>
      </c>
      <c r="D40" s="468">
        <f t="shared" si="13"/>
        <v>26.655377905516087</v>
      </c>
      <c r="G40" s="469">
        <v>164280</v>
      </c>
      <c r="H40" s="467">
        <f>I15</f>
        <v>22621</v>
      </c>
      <c r="I40" s="468">
        <f t="shared" si="14"/>
        <v>13.769783296810322</v>
      </c>
      <c r="L40" s="469">
        <v>34738</v>
      </c>
      <c r="M40" s="467">
        <f>N15</f>
        <v>30428</v>
      </c>
      <c r="N40" s="468">
        <f t="shared" si="16"/>
        <v>87.592837814497088</v>
      </c>
    </row>
    <row r="41" spans="1:14" ht="17.25" thickTop="1" thickBot="1" x14ac:dyDescent="0.3">
      <c r="A41" s="446" t="s">
        <v>8</v>
      </c>
      <c r="B41" s="362">
        <f>SUM(B35:B38)</f>
        <v>6318506</v>
      </c>
      <c r="C41" s="489">
        <f>SUM(C35:C38)</f>
        <v>4956400</v>
      </c>
      <c r="D41" s="466">
        <f t="shared" si="13"/>
        <v>78.442593866334846</v>
      </c>
      <c r="G41" s="434">
        <f>SUM(G35:G38)</f>
        <v>1672462</v>
      </c>
      <c r="H41" s="368">
        <f>SUM(H35:H38)</f>
        <v>1544811</v>
      </c>
      <c r="I41" s="369">
        <f t="shared" si="14"/>
        <v>92.367479799242076</v>
      </c>
      <c r="L41" s="434">
        <f>SUM(L35:L38)</f>
        <v>4646044</v>
      </c>
      <c r="M41" s="368">
        <f>SUM(M35:M38)</f>
        <v>3411589</v>
      </c>
      <c r="N41" s="369">
        <f t="shared" ref="N41" si="17">(M41/L41)*100</f>
        <v>73.42997612592562</v>
      </c>
    </row>
    <row r="42" spans="1:14" ht="13.5" thickBot="1" x14ac:dyDescent="0.25">
      <c r="A42" s="225"/>
      <c r="B42" s="226"/>
      <c r="C42" s="226"/>
      <c r="D42" s="225"/>
      <c r="G42" s="13"/>
    </row>
    <row r="43" spans="1:14" ht="20.100000000000001" customHeight="1" thickBot="1" x14ac:dyDescent="0.25">
      <c r="A43" s="396" t="s">
        <v>91</v>
      </c>
      <c r="B43" s="435" t="s">
        <v>140</v>
      </c>
      <c r="C43" s="435" t="s">
        <v>157</v>
      </c>
      <c r="D43" s="436" t="s">
        <v>133</v>
      </c>
      <c r="G43" s="438" t="s">
        <v>140</v>
      </c>
      <c r="H43" s="435" t="s">
        <v>157</v>
      </c>
      <c r="I43" s="436" t="s">
        <v>133</v>
      </c>
      <c r="L43" s="438" t="s">
        <v>140</v>
      </c>
      <c r="M43" s="435" t="s">
        <v>157</v>
      </c>
      <c r="N43" s="436" t="s">
        <v>133</v>
      </c>
    </row>
    <row r="44" spans="1:14" s="360" customFormat="1" ht="15" thickTop="1" x14ac:dyDescent="0.2">
      <c r="A44" s="443" t="s">
        <v>112</v>
      </c>
      <c r="B44" s="440">
        <v>5783756</v>
      </c>
      <c r="C44" s="490">
        <f>D20</f>
        <v>4531956</v>
      </c>
      <c r="D44" s="441">
        <f>C44/B44*100</f>
        <v>78.356625002852823</v>
      </c>
      <c r="G44" s="405">
        <v>1268021</v>
      </c>
      <c r="H44" s="344">
        <f>I20</f>
        <v>1417986</v>
      </c>
      <c r="I44" s="441">
        <f>H44/G44*100</f>
        <v>111.82669687647129</v>
      </c>
      <c r="L44" s="445">
        <v>4515735</v>
      </c>
      <c r="M44" s="490">
        <f t="shared" ref="M44:M50" si="18">N20</f>
        <v>3113970</v>
      </c>
      <c r="N44" s="441">
        <f>M44/L44*100</f>
        <v>68.958209460918312</v>
      </c>
    </row>
    <row r="45" spans="1:14" ht="14.25" x14ac:dyDescent="0.2">
      <c r="A45" s="363" t="s">
        <v>137</v>
      </c>
      <c r="B45" s="458">
        <v>53531</v>
      </c>
      <c r="C45" s="458">
        <f>H45+M45</f>
        <v>46866</v>
      </c>
      <c r="D45" s="408">
        <f>(C45/B45)*100</f>
        <v>87.549270516149519</v>
      </c>
      <c r="G45" s="461">
        <v>50850</v>
      </c>
      <c r="H45" s="458">
        <f>I21</f>
        <v>44043</v>
      </c>
      <c r="I45" s="408">
        <f>(H45/G45)*100</f>
        <v>86.61356932153393</v>
      </c>
      <c r="L45" s="461">
        <v>2681</v>
      </c>
      <c r="M45" s="458">
        <f t="shared" si="18"/>
        <v>2823</v>
      </c>
      <c r="N45" s="409">
        <f>(M45/L45)*100</f>
        <v>105.29653114509512</v>
      </c>
    </row>
    <row r="46" spans="1:14" ht="14.25" x14ac:dyDescent="0.2">
      <c r="A46" s="363" t="s">
        <v>128</v>
      </c>
      <c r="B46" s="458">
        <v>605669</v>
      </c>
      <c r="C46" s="458">
        <f>H46+M46</f>
        <v>720131</v>
      </c>
      <c r="D46" s="408">
        <f>(C46/B46)*100</f>
        <v>118.89844122779934</v>
      </c>
      <c r="G46" s="461">
        <v>605669</v>
      </c>
      <c r="H46" s="458">
        <f t="shared" ref="H46:H49" si="19">I22</f>
        <v>720131</v>
      </c>
      <c r="I46" s="408">
        <f>(H46/G46)*100</f>
        <v>118.89844122779934</v>
      </c>
      <c r="L46" s="461">
        <v>0</v>
      </c>
      <c r="M46" s="458">
        <f t="shared" si="18"/>
        <v>0</v>
      </c>
      <c r="N46" s="409">
        <v>0</v>
      </c>
    </row>
    <row r="47" spans="1:14" ht="14.25" x14ac:dyDescent="0.2">
      <c r="A47" s="364" t="s">
        <v>138</v>
      </c>
      <c r="B47" s="458">
        <v>463252</v>
      </c>
      <c r="C47" s="458">
        <f>H47+M47</f>
        <v>483375</v>
      </c>
      <c r="D47" s="408">
        <f>(C47/B47)*100</f>
        <v>104.34385604379474</v>
      </c>
      <c r="G47" s="461">
        <v>463252</v>
      </c>
      <c r="H47" s="458">
        <f t="shared" si="19"/>
        <v>483375</v>
      </c>
      <c r="I47" s="408">
        <f>(H47/G47)*100</f>
        <v>104.34385604379474</v>
      </c>
      <c r="L47" s="461">
        <v>0</v>
      </c>
      <c r="M47" s="458">
        <f t="shared" si="18"/>
        <v>0</v>
      </c>
      <c r="N47" s="409">
        <v>0</v>
      </c>
    </row>
    <row r="48" spans="1:14" ht="14.25" x14ac:dyDescent="0.2">
      <c r="A48" s="363" t="s">
        <v>146</v>
      </c>
      <c r="B48" s="458">
        <v>61422</v>
      </c>
      <c r="C48" s="458">
        <f>H48+M48</f>
        <v>57673</v>
      </c>
      <c r="D48" s="408">
        <f>(C48/B48)*100</f>
        <v>93.896323792777835</v>
      </c>
      <c r="G48" s="461">
        <v>59855</v>
      </c>
      <c r="H48" s="458">
        <f>I24</f>
        <v>56684</v>
      </c>
      <c r="I48" s="408">
        <f>(H48/G48)*100</f>
        <v>94.702196976025405</v>
      </c>
      <c r="L48" s="461">
        <v>1567</v>
      </c>
      <c r="M48" s="458">
        <f t="shared" si="18"/>
        <v>989</v>
      </c>
      <c r="N48" s="409">
        <f>(M48/L48)*100</f>
        <v>63.114231014677728</v>
      </c>
    </row>
    <row r="49" spans="1:14" ht="14.25" x14ac:dyDescent="0.2">
      <c r="A49" s="363" t="s">
        <v>147</v>
      </c>
      <c r="B49" s="458">
        <v>4599882</v>
      </c>
      <c r="C49" s="458">
        <f>H49+M49</f>
        <v>3223911</v>
      </c>
      <c r="D49" s="408">
        <f>(C49/B49)*100</f>
        <v>70.0868196184163</v>
      </c>
      <c r="G49" s="461">
        <v>88395</v>
      </c>
      <c r="H49" s="458">
        <f t="shared" si="19"/>
        <v>113753</v>
      </c>
      <c r="I49" s="408">
        <f>(H49/G49)*100</f>
        <v>128.68714293794898</v>
      </c>
      <c r="L49" s="461">
        <v>4511487</v>
      </c>
      <c r="M49" s="458">
        <f t="shared" si="18"/>
        <v>3110158</v>
      </c>
      <c r="N49" s="409">
        <f>(M49/L49)*100</f>
        <v>68.938644841490188</v>
      </c>
    </row>
    <row r="50" spans="1:14" s="360" customFormat="1" ht="15" thickBot="1" x14ac:dyDescent="0.25">
      <c r="A50" s="444" t="s">
        <v>113</v>
      </c>
      <c r="B50" s="415">
        <v>116680</v>
      </c>
      <c r="C50" s="491">
        <f>D26</f>
        <v>127702</v>
      </c>
      <c r="D50" s="442">
        <f>C50/B50*100</f>
        <v>109.44634898868702</v>
      </c>
      <c r="G50" s="400">
        <v>84178</v>
      </c>
      <c r="H50" s="416">
        <f t="shared" ref="H50" si="20">I26</f>
        <v>82488</v>
      </c>
      <c r="I50" s="442">
        <f>H50/G50*100</f>
        <v>97.992349545011763</v>
      </c>
      <c r="L50" s="417">
        <v>32502</v>
      </c>
      <c r="M50" s="491">
        <f t="shared" si="18"/>
        <v>45214</v>
      </c>
      <c r="N50" s="442">
        <f>M50/L50*100</f>
        <v>139.11143929604333</v>
      </c>
    </row>
    <row r="51" spans="1:14" ht="16.5" thickTop="1" thickBot="1" x14ac:dyDescent="0.25">
      <c r="A51" s="418" t="s">
        <v>135</v>
      </c>
      <c r="B51" s="437">
        <f t="shared" ref="B51" si="21">B50+B44</f>
        <v>5900436</v>
      </c>
      <c r="C51" s="492">
        <f t="shared" ref="C51" si="22">C50+C44</f>
        <v>4659658</v>
      </c>
      <c r="D51" s="420">
        <f>C51/B51*100</f>
        <v>78.971418383319474</v>
      </c>
      <c r="G51" s="439">
        <f t="shared" ref="G51" si="23">G50+G44</f>
        <v>1352199</v>
      </c>
      <c r="H51" s="492">
        <f t="shared" ref="H51" si="24">H50+H44</f>
        <v>1500474</v>
      </c>
      <c r="I51" s="420">
        <f>H51/G51*100</f>
        <v>110.96547179815988</v>
      </c>
      <c r="L51" s="439">
        <f t="shared" ref="L51" si="25">L50+L44</f>
        <v>4548237</v>
      </c>
      <c r="M51" s="492">
        <f t="shared" ref="M51" si="26">M50+M44</f>
        <v>3159184</v>
      </c>
      <c r="N51" s="420">
        <f>M51/L51*100</f>
        <v>69.459529043891081</v>
      </c>
    </row>
    <row r="52" spans="1:14" ht="13.5" thickBot="1" x14ac:dyDescent="0.25">
      <c r="B52" s="169"/>
      <c r="D52" s="1"/>
      <c r="G52" s="169"/>
      <c r="H52" s="169"/>
      <c r="L52" s="169"/>
      <c r="M52" s="169"/>
    </row>
    <row r="53" spans="1:14" ht="15.75" thickBot="1" x14ac:dyDescent="0.25">
      <c r="A53" s="448" t="s">
        <v>143</v>
      </c>
      <c r="B53" s="427">
        <f>B51-B41</f>
        <v>-418070</v>
      </c>
      <c r="C53" s="427">
        <f>C51-C41</f>
        <v>-296742</v>
      </c>
      <c r="D53" s="449"/>
      <c r="E53" s="367"/>
      <c r="F53" s="367"/>
      <c r="G53" s="426">
        <f>G51-G41</f>
        <v>-320263</v>
      </c>
      <c r="H53" s="427">
        <f>H51-H41</f>
        <v>-44337</v>
      </c>
      <c r="I53" s="449"/>
      <c r="J53" s="367"/>
      <c r="K53" s="367"/>
      <c r="L53" s="426">
        <f>L51-L41</f>
        <v>-97807</v>
      </c>
      <c r="M53" s="427">
        <f>M51-M41</f>
        <v>-252405</v>
      </c>
      <c r="N53" s="449"/>
    </row>
    <row r="54" spans="1:14" x14ac:dyDescent="0.2">
      <c r="B54" s="169"/>
      <c r="D54" s="1"/>
    </row>
    <row r="55" spans="1:14" x14ac:dyDescent="0.2">
      <c r="B55" s="169"/>
      <c r="D55" s="1"/>
    </row>
    <row r="56" spans="1:14" x14ac:dyDescent="0.2">
      <c r="B56" s="169"/>
      <c r="D56" s="1"/>
    </row>
    <row r="57" spans="1:14" x14ac:dyDescent="0.2">
      <c r="B57" s="169"/>
      <c r="D57" s="1"/>
    </row>
    <row r="58" spans="1:14" x14ac:dyDescent="0.2">
      <c r="B58" s="169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27. 6. 2022
8.3. - Rozpočet Olomouckého kraje 2022 - plnění rozpočtu k 31. 3. 2022
Příloha č. 1 - Bilance Olomouckého kraje k 31. 3. 2022&amp;R&amp;"Arial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B41 G41 L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E12" sqref="E1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7" t="s">
        <v>151</v>
      </c>
      <c r="B1" s="517"/>
      <c r="C1" s="517"/>
      <c r="D1" s="517"/>
      <c r="E1" s="517"/>
    </row>
    <row r="3" spans="1:7" x14ac:dyDescent="0.2">
      <c r="A3" s="512" t="s">
        <v>94</v>
      </c>
      <c r="B3" s="512"/>
      <c r="C3" s="512"/>
      <c r="D3" s="512"/>
      <c r="E3" s="512"/>
    </row>
    <row r="4" spans="1:7" ht="30.75" customHeight="1" x14ac:dyDescent="0.2">
      <c r="A4" s="512"/>
      <c r="B4" s="512"/>
      <c r="C4" s="512"/>
      <c r="D4" s="512"/>
      <c r="E4" s="512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3" t="s">
        <v>1</v>
      </c>
      <c r="B7" s="264" t="s">
        <v>11</v>
      </c>
      <c r="C7" s="264" t="s">
        <v>12</v>
      </c>
      <c r="D7" s="264" t="s">
        <v>4</v>
      </c>
      <c r="E7" s="265" t="s">
        <v>5</v>
      </c>
    </row>
    <row r="8" spans="1:7" s="4" customFormat="1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7" t="s">
        <v>95</v>
      </c>
    </row>
    <row r="9" spans="1:7" ht="18.95" customHeight="1" thickTop="1" x14ac:dyDescent="0.2">
      <c r="A9" s="223" t="s">
        <v>101</v>
      </c>
      <c r="B9" s="227">
        <v>5244006</v>
      </c>
      <c r="C9" s="232">
        <v>5244006</v>
      </c>
      <c r="D9" s="232">
        <v>1327972</v>
      </c>
      <c r="E9" s="80">
        <f>(D9/C9)*100</f>
        <v>25.32361709731072</v>
      </c>
    </row>
    <row r="10" spans="1:7" ht="18.95" customHeight="1" x14ac:dyDescent="0.2">
      <c r="A10" s="223" t="s">
        <v>102</v>
      </c>
      <c r="B10" s="228">
        <v>473010</v>
      </c>
      <c r="C10" s="232">
        <v>500138</v>
      </c>
      <c r="D10" s="232">
        <v>168788</v>
      </c>
      <c r="E10" s="81">
        <f t="shared" ref="E10:E14" si="0">(D10/C10)*100</f>
        <v>33.748285473209393</v>
      </c>
    </row>
    <row r="11" spans="1:7" ht="18.95" customHeight="1" x14ac:dyDescent="0.2">
      <c r="A11" s="297" t="s">
        <v>103</v>
      </c>
      <c r="B11" s="228">
        <v>9005</v>
      </c>
      <c r="C11" s="232">
        <v>9005</v>
      </c>
      <c r="D11" s="232">
        <v>35</v>
      </c>
      <c r="E11" s="81">
        <f>(D11/C11)*100</f>
        <v>0.38867295946696279</v>
      </c>
    </row>
    <row r="12" spans="1:7" ht="18.95" customHeight="1" x14ac:dyDescent="0.2">
      <c r="A12" s="224" t="s">
        <v>104</v>
      </c>
      <c r="B12" s="229">
        <v>196149</v>
      </c>
      <c r="C12" s="233">
        <v>3433552</v>
      </c>
      <c r="D12" s="233">
        <v>8229064</v>
      </c>
      <c r="E12" s="81">
        <f t="shared" si="0"/>
        <v>239.66621155002167</v>
      </c>
      <c r="G12" s="11"/>
    </row>
    <row r="13" spans="1:7" ht="18.95" customHeight="1" x14ac:dyDescent="0.25">
      <c r="A13" s="12" t="s">
        <v>8</v>
      </c>
      <c r="B13" s="230">
        <f>SUM(B9:B12)</f>
        <v>5922170</v>
      </c>
      <c r="C13" s="234">
        <f>SUM(C9:C12)</f>
        <v>9186701</v>
      </c>
      <c r="D13" s="234">
        <f>SUM(D9:D12)</f>
        <v>9725859</v>
      </c>
      <c r="E13" s="83">
        <f t="shared" si="0"/>
        <v>105.86889678895612</v>
      </c>
    </row>
    <row r="14" spans="1:7" s="6" customFormat="1" ht="21.75" customHeight="1" x14ac:dyDescent="0.2">
      <c r="A14" s="7" t="s">
        <v>105</v>
      </c>
      <c r="B14" s="227">
        <v>11315</v>
      </c>
      <c r="C14" s="235">
        <v>11315</v>
      </c>
      <c r="D14" s="232">
        <v>4769459</v>
      </c>
      <c r="E14" s="81">
        <f t="shared" si="0"/>
        <v>42151.648254529384</v>
      </c>
    </row>
    <row r="15" spans="1:7" s="6" customFormat="1" ht="45.75" customHeight="1" thickBot="1" x14ac:dyDescent="0.3">
      <c r="A15" s="8" t="s">
        <v>7</v>
      </c>
      <c r="B15" s="231">
        <f>B13-B14</f>
        <v>5910855</v>
      </c>
      <c r="C15" s="236">
        <f>C13-C14</f>
        <v>9175386</v>
      </c>
      <c r="D15" s="236">
        <f>D13-D14</f>
        <v>4956400</v>
      </c>
      <c r="E15" s="82">
        <f>(D15/C15)*100</f>
        <v>54.018435845641811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516" t="s">
        <v>124</v>
      </c>
      <c r="B17" s="516"/>
      <c r="C17" s="516"/>
      <c r="D17" s="516"/>
      <c r="E17" s="516"/>
    </row>
    <row r="18" spans="1:7" x14ac:dyDescent="0.2">
      <c r="A18" s="516"/>
      <c r="B18" s="516"/>
      <c r="C18" s="516"/>
      <c r="D18" s="516"/>
      <c r="E18" s="516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358"/>
      <c r="C21" s="226"/>
      <c r="D21" s="226"/>
      <c r="E21" s="225"/>
    </row>
    <row r="24" spans="1:7" ht="21.75" customHeight="1" x14ac:dyDescent="0.2">
      <c r="B24" s="262"/>
      <c r="C24" s="262"/>
      <c r="D24" s="262"/>
    </row>
    <row r="25" spans="1:7" ht="28.5" customHeight="1" x14ac:dyDescent="0.2">
      <c r="B25" s="262"/>
      <c r="C25" s="262"/>
      <c r="D25" s="262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27. 6. 2022
8.3. - Rozpočet Olomouckého kraje 2022 - plnění rozpočtu k 31. 3. 2022
Příloha č. 2 - Plnění rozpočtu Olomouckého kraje k 31. 3. 2022&amp;R&amp;"Arial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zoomScaleNormal="100" zoomScaleSheetLayoutView="100" workbookViewId="0">
      <selection activeCell="A11" sqref="A11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2" t="s">
        <v>152</v>
      </c>
      <c r="B1" s="523"/>
      <c r="C1" s="523"/>
      <c r="D1" s="523"/>
      <c r="E1" s="523"/>
      <c r="F1" s="523"/>
      <c r="G1" s="14"/>
      <c r="H1" s="14"/>
      <c r="I1" s="14"/>
      <c r="K1" s="16"/>
    </row>
    <row r="2" spans="1:14" ht="23.25" x14ac:dyDescent="0.35">
      <c r="A2" s="524"/>
      <c r="B2" s="524"/>
      <c r="C2" s="524"/>
      <c r="D2" s="524"/>
      <c r="E2" s="524"/>
      <c r="F2" s="524"/>
      <c r="G2" s="18"/>
      <c r="H2" s="18"/>
      <c r="I2" s="18"/>
      <c r="K2" s="16"/>
    </row>
    <row r="3" spans="1:14" ht="15" thickBot="1" x14ac:dyDescent="0.25">
      <c r="F3" s="296" t="s">
        <v>0</v>
      </c>
      <c r="G3" s="23"/>
      <c r="H3" s="23"/>
      <c r="I3" s="23"/>
    </row>
    <row r="4" spans="1:14" s="25" customFormat="1" ht="24" thickTop="1" thickBot="1" x14ac:dyDescent="0.25">
      <c r="A4" s="268" t="s">
        <v>9</v>
      </c>
      <c r="B4" s="269" t="s">
        <v>10</v>
      </c>
      <c r="C4" s="270" t="s">
        <v>11</v>
      </c>
      <c r="D4" s="270" t="s">
        <v>12</v>
      </c>
      <c r="E4" s="270" t="s">
        <v>4</v>
      </c>
      <c r="F4" s="271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6">
        <v>1</v>
      </c>
      <c r="B5" s="264">
        <v>2</v>
      </c>
      <c r="C5" s="264">
        <v>3</v>
      </c>
      <c r="D5" s="264">
        <v>4</v>
      </c>
      <c r="E5" s="264">
        <v>5</v>
      </c>
      <c r="F5" s="272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77" t="s">
        <v>13</v>
      </c>
      <c r="B6" s="113">
        <v>1</v>
      </c>
      <c r="C6" s="86">
        <f>SUM(C7:C9)</f>
        <v>40612</v>
      </c>
      <c r="D6" s="86">
        <f t="shared" ref="D6:E6" si="0">SUM(D7:D9)</f>
        <v>40538</v>
      </c>
      <c r="E6" s="86">
        <f t="shared" si="0"/>
        <v>5363</v>
      </c>
      <c r="F6" s="335">
        <f t="shared" ref="F6:F35" si="1">(E6/D6)*100</f>
        <v>13.229562385909515</v>
      </c>
      <c r="G6" s="27"/>
      <c r="H6" s="27"/>
      <c r="I6" s="27"/>
      <c r="J6" s="193"/>
      <c r="K6" s="67"/>
      <c r="N6" s="250"/>
    </row>
    <row r="7" spans="1:14" s="32" customFormat="1" x14ac:dyDescent="0.2">
      <c r="A7" s="28" t="s">
        <v>108</v>
      </c>
      <c r="B7" s="306"/>
      <c r="C7" s="30">
        <f>40612-C9</f>
        <v>40045</v>
      </c>
      <c r="D7" s="30">
        <f>40538-D9</f>
        <v>39971</v>
      </c>
      <c r="E7" s="30">
        <f>5363-E9</f>
        <v>5121</v>
      </c>
      <c r="F7" s="336">
        <f t="shared" si="1"/>
        <v>12.811788546696354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106</v>
      </c>
      <c r="B8" s="476"/>
      <c r="C8" s="30">
        <v>0</v>
      </c>
      <c r="D8" s="30">
        <v>0</v>
      </c>
      <c r="E8" s="30">
        <v>0</v>
      </c>
      <c r="F8" s="336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471" t="s">
        <v>107</v>
      </c>
      <c r="B9" s="308"/>
      <c r="C9" s="337">
        <v>567</v>
      </c>
      <c r="D9" s="337">
        <v>567</v>
      </c>
      <c r="E9" s="337">
        <v>242</v>
      </c>
      <c r="F9" s="302">
        <f t="shared" si="1"/>
        <v>42.680776014109348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9" t="s">
        <v>159</v>
      </c>
      <c r="B10" s="478">
        <v>2</v>
      </c>
      <c r="C10" s="334">
        <f>SUM(C11:C13)</f>
        <v>383333</v>
      </c>
      <c r="D10" s="334">
        <f>SUM(D11:D13)</f>
        <v>384078</v>
      </c>
      <c r="E10" s="334">
        <f>SUM(E11:E13)</f>
        <v>57950</v>
      </c>
      <c r="F10" s="335">
        <f t="shared" ref="F10:F11" si="2">(E10/D10)*100</f>
        <v>15.088081066866627</v>
      </c>
      <c r="G10" s="251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383333-C13</f>
        <v>372585</v>
      </c>
      <c r="D11" s="30">
        <f>384078-D13</f>
        <v>373330</v>
      </c>
      <c r="E11" s="30">
        <f>57950-E13</f>
        <v>52850</v>
      </c>
      <c r="F11" s="336">
        <f t="shared" si="2"/>
        <v>14.156376396217823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336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71" t="s">
        <v>107</v>
      </c>
      <c r="B13" s="306"/>
      <c r="C13" s="30">
        <v>10748</v>
      </c>
      <c r="D13" s="30">
        <v>10748</v>
      </c>
      <c r="E13" s="30">
        <v>5100</v>
      </c>
      <c r="F13" s="302">
        <f t="shared" ref="F13" si="3">(E13/D13)*100</f>
        <v>47.450688500186082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9" t="s">
        <v>85</v>
      </c>
      <c r="B14" s="478">
        <v>3</v>
      </c>
      <c r="C14" s="334">
        <f>SUM(C15:C16)</f>
        <v>97519</v>
      </c>
      <c r="D14" s="334">
        <f>SUM(D15:D16)</f>
        <v>98033</v>
      </c>
      <c r="E14" s="334">
        <f>SUM(E15:E16)</f>
        <v>19887</v>
      </c>
      <c r="F14" s="335">
        <f t="shared" si="1"/>
        <v>20.2860261340569</v>
      </c>
      <c r="G14" s="251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96219</v>
      </c>
      <c r="D15" s="30">
        <v>96453</v>
      </c>
      <c r="E15" s="30">
        <v>19731</v>
      </c>
      <c r="F15" s="336">
        <f t="shared" si="1"/>
        <v>20.456595440266241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1300</v>
      </c>
      <c r="D16" s="30">
        <v>1580</v>
      </c>
      <c r="E16" s="30">
        <v>156</v>
      </c>
      <c r="F16" s="302">
        <f>(E16/D16)*100</f>
        <v>9.8734177215189867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16" t="s">
        <v>86</v>
      </c>
      <c r="B17" s="478">
        <v>4</v>
      </c>
      <c r="C17" s="334">
        <f>SUM(C18:C19)</f>
        <v>43560</v>
      </c>
      <c r="D17" s="334">
        <f t="shared" ref="D17:E17" si="4">SUM(D18:D19)</f>
        <v>43560</v>
      </c>
      <c r="E17" s="334">
        <f t="shared" si="4"/>
        <v>9983</v>
      </c>
      <c r="F17" s="335">
        <f t="shared" si="1"/>
        <v>22.917814508723598</v>
      </c>
      <c r="G17" s="251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41395</v>
      </c>
      <c r="D18" s="30">
        <v>41395</v>
      </c>
      <c r="E18" s="30">
        <v>9780</v>
      </c>
      <c r="F18" s="336">
        <f t="shared" si="1"/>
        <v>23.626041792487015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2165</v>
      </c>
      <c r="D19" s="30">
        <v>2165</v>
      </c>
      <c r="E19" s="30">
        <v>203</v>
      </c>
      <c r="F19" s="302">
        <f t="shared" si="1"/>
        <v>9.3764434180138565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9" t="s">
        <v>118</v>
      </c>
      <c r="B20" s="478">
        <v>6</v>
      </c>
      <c r="C20" s="334">
        <f>SUM(C21:C22)</f>
        <v>43762</v>
      </c>
      <c r="D20" s="334">
        <f>SUM(D21:D22)</f>
        <v>44091</v>
      </c>
      <c r="E20" s="334">
        <f>SUM(E21:E22)</f>
        <v>9235</v>
      </c>
      <c r="F20" s="335">
        <f t="shared" ref="F20" si="5">(E20/D20)*100</f>
        <v>20.945317638520333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35220</v>
      </c>
      <c r="D21" s="30">
        <v>35549</v>
      </c>
      <c r="E21" s="30">
        <v>9166</v>
      </c>
      <c r="F21" s="336">
        <f>(E21/D21)*100</f>
        <v>25.784128948774931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8542</v>
      </c>
      <c r="D22" s="30">
        <v>8542</v>
      </c>
      <c r="E22" s="30">
        <v>69</v>
      </c>
      <c r="F22" s="302">
        <f t="shared" ref="F22" si="6">(E22/D22)*100</f>
        <v>0.80777335518613902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9" t="s">
        <v>19</v>
      </c>
      <c r="B23" s="478">
        <v>7</v>
      </c>
      <c r="C23" s="334">
        <f>SUM(C24:C27)</f>
        <v>356745</v>
      </c>
      <c r="D23" s="334">
        <f>SUM(D24:D27)</f>
        <v>324932</v>
      </c>
      <c r="E23" s="334">
        <f t="shared" ref="E23" si="7">SUM(E24:E27)</f>
        <v>4768671</v>
      </c>
      <c r="F23" s="335">
        <f t="shared" si="1"/>
        <v>1467.5904496940898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356745-C27-C26</f>
        <v>261630</v>
      </c>
      <c r="D24" s="30">
        <f>324932-D27-D26</f>
        <v>284328</v>
      </c>
      <c r="E24" s="30">
        <f>4768671-E27-E26</f>
        <v>40017</v>
      </c>
      <c r="F24" s="336">
        <f>(E24/D24)*100</f>
        <v>14.074238203764667</v>
      </c>
      <c r="G24" s="88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336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74" t="s">
        <v>109</v>
      </c>
      <c r="B26" s="306"/>
      <c r="C26" s="30">
        <v>95115</v>
      </c>
      <c r="D26" s="30">
        <v>40604</v>
      </c>
      <c r="E26" s="30">
        <v>0</v>
      </c>
      <c r="F26" s="336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71" t="s">
        <v>107</v>
      </c>
      <c r="B27" s="308"/>
      <c r="C27" s="337">
        <v>0</v>
      </c>
      <c r="D27" s="337">
        <v>0</v>
      </c>
      <c r="E27" s="337">
        <v>4728654</v>
      </c>
      <c r="F27" s="302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70" t="s">
        <v>87</v>
      </c>
      <c r="B28" s="37">
        <v>8</v>
      </c>
      <c r="C28" s="338">
        <f>SUM(C29:C31)</f>
        <v>73096</v>
      </c>
      <c r="D28" s="338">
        <f t="shared" ref="D28" si="8">SUM(D29:D31)</f>
        <v>73841</v>
      </c>
      <c r="E28" s="338">
        <f>SUM(E29:E31)</f>
        <v>6209</v>
      </c>
      <c r="F28" s="335">
        <f>(E28/D28)*100</f>
        <v>8.4086076840779516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73096-C31-C30</f>
        <v>33446</v>
      </c>
      <c r="D29" s="30">
        <f>73841-D31-D30</f>
        <v>31196</v>
      </c>
      <c r="E29" s="30">
        <f>6209-E31-E30</f>
        <v>5214</v>
      </c>
      <c r="F29" s="336">
        <f t="shared" si="1"/>
        <v>16.713681241184766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336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71" t="s">
        <v>109</v>
      </c>
      <c r="B31" s="308"/>
      <c r="C31" s="337">
        <v>39650</v>
      </c>
      <c r="D31" s="337">
        <v>42645</v>
      </c>
      <c r="E31" s="337">
        <v>995</v>
      </c>
      <c r="F31" s="302">
        <f t="shared" si="1"/>
        <v>2.3332160862938212</v>
      </c>
      <c r="G31" s="31"/>
      <c r="H31" s="31"/>
      <c r="I31" s="31"/>
      <c r="J31" s="193"/>
      <c r="K31" s="55"/>
      <c r="N31" s="33"/>
    </row>
    <row r="32" spans="1:14" ht="15" customHeight="1" x14ac:dyDescent="0.25">
      <c r="A32" s="470" t="s">
        <v>20</v>
      </c>
      <c r="B32" s="37">
        <v>9</v>
      </c>
      <c r="C32" s="338">
        <f>SUM(C33:C35)</f>
        <v>20183</v>
      </c>
      <c r="D32" s="338">
        <f t="shared" ref="D32" si="9">SUM(D33:D35)</f>
        <v>29176</v>
      </c>
      <c r="E32" s="338">
        <f>SUM(E33:E35)</f>
        <v>8035</v>
      </c>
      <c r="F32" s="335">
        <f t="shared" si="1"/>
        <v>27.539758705785577</v>
      </c>
      <c r="G32" s="251"/>
      <c r="H32" s="27"/>
      <c r="I32" s="27"/>
      <c r="J32" s="193"/>
      <c r="K32" s="67"/>
    </row>
    <row r="33" spans="1:15" ht="15" customHeight="1" x14ac:dyDescent="0.2">
      <c r="A33" s="28" t="s">
        <v>108</v>
      </c>
      <c r="B33" s="37"/>
      <c r="C33" s="479">
        <f>20183-C35</f>
        <v>6195</v>
      </c>
      <c r="D33" s="479">
        <f>29176-D35</f>
        <v>6445</v>
      </c>
      <c r="E33" s="479">
        <f>8035-E35</f>
        <v>-708</v>
      </c>
      <c r="F33" s="336">
        <f>(E33/D33)*100</f>
        <v>-10.985259891388674</v>
      </c>
      <c r="G33" s="31"/>
      <c r="H33" s="31"/>
      <c r="I33" s="31"/>
      <c r="J33" s="193"/>
      <c r="K33" s="55"/>
    </row>
    <row r="34" spans="1:15" ht="15" customHeight="1" x14ac:dyDescent="0.2">
      <c r="A34" s="28" t="s">
        <v>106</v>
      </c>
      <c r="B34" s="37"/>
      <c r="C34" s="30">
        <v>0</v>
      </c>
      <c r="D34" s="479">
        <v>0</v>
      </c>
      <c r="E34" s="30">
        <v>0</v>
      </c>
      <c r="F34" s="336">
        <v>0</v>
      </c>
      <c r="G34" s="31"/>
      <c r="H34" s="31"/>
      <c r="I34" s="88"/>
      <c r="J34" s="88"/>
      <c r="K34" s="55"/>
    </row>
    <row r="35" spans="1:15" s="32" customFormat="1" x14ac:dyDescent="0.2">
      <c r="A35" s="471" t="s">
        <v>109</v>
      </c>
      <c r="B35" s="308"/>
      <c r="C35" s="337">
        <v>13988</v>
      </c>
      <c r="D35" s="480">
        <v>22731</v>
      </c>
      <c r="E35" s="480">
        <v>8743</v>
      </c>
      <c r="F35" s="336">
        <f t="shared" si="1"/>
        <v>38.462892085697945</v>
      </c>
      <c r="G35" s="31"/>
      <c r="H35" s="252"/>
      <c r="I35" s="252"/>
      <c r="J35" s="252"/>
      <c r="K35" s="55"/>
      <c r="N35" s="33"/>
    </row>
    <row r="36" spans="1:15" s="48" customFormat="1" ht="15" x14ac:dyDescent="0.25">
      <c r="A36" s="316" t="s">
        <v>98</v>
      </c>
      <c r="B36" s="317">
        <v>10</v>
      </c>
      <c r="C36" s="334">
        <f>C37+C41+C44</f>
        <v>403413</v>
      </c>
      <c r="D36" s="334">
        <f>D37+D41+D44</f>
        <v>3291135</v>
      </c>
      <c r="E36" s="334">
        <f>E37+E41+E44</f>
        <v>2841465</v>
      </c>
      <c r="F36" s="342">
        <f t="shared" ref="F36:F62" si="10">(E36/D36)*100</f>
        <v>86.336932395662885</v>
      </c>
      <c r="G36" s="27"/>
      <c r="H36" s="67"/>
      <c r="I36" s="67"/>
      <c r="J36" s="193"/>
      <c r="K36" s="67"/>
      <c r="N36" s="253"/>
    </row>
    <row r="37" spans="1:15" s="48" customFormat="1" x14ac:dyDescent="0.2">
      <c r="A37" s="305" t="s">
        <v>21</v>
      </c>
      <c r="B37" s="304"/>
      <c r="C37" s="339">
        <f>C38+C39+C40</f>
        <v>29964</v>
      </c>
      <c r="D37" s="339">
        <f>D38+D39+D40</f>
        <v>36586</v>
      </c>
      <c r="E37" s="339">
        <f>E38+E39+E40</f>
        <v>7051</v>
      </c>
      <c r="F37" s="336">
        <f t="shared" si="10"/>
        <v>19.272399278412507</v>
      </c>
      <c r="G37" s="31"/>
      <c r="H37" s="31"/>
      <c r="I37" s="31"/>
      <c r="J37" s="69"/>
      <c r="K37" s="254"/>
      <c r="L37" s="76"/>
      <c r="M37" s="76"/>
      <c r="N37" s="69"/>
      <c r="O37" s="76"/>
    </row>
    <row r="38" spans="1:15" s="48" customFormat="1" x14ac:dyDescent="0.2">
      <c r="A38" s="28" t="s">
        <v>108</v>
      </c>
      <c r="B38" s="481"/>
      <c r="C38" s="30">
        <v>9764</v>
      </c>
      <c r="D38" s="30">
        <v>16350</v>
      </c>
      <c r="E38" s="30">
        <v>6491</v>
      </c>
      <c r="F38" s="336">
        <f t="shared" si="10"/>
        <v>39.700305810397552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82"/>
      <c r="C39" s="30">
        <v>0</v>
      </c>
      <c r="D39" s="30">
        <v>0</v>
      </c>
      <c r="E39" s="30">
        <v>0</v>
      </c>
      <c r="F39" s="336">
        <v>0</v>
      </c>
      <c r="G39" s="31"/>
      <c r="H39" s="31"/>
      <c r="I39" s="31"/>
      <c r="J39" s="69"/>
      <c r="K39" s="55"/>
      <c r="L39" s="255"/>
      <c r="M39" s="76"/>
      <c r="N39" s="69"/>
      <c r="O39" s="76"/>
    </row>
    <row r="40" spans="1:15" s="48" customFormat="1" x14ac:dyDescent="0.2">
      <c r="A40" s="474" t="s">
        <v>109</v>
      </c>
      <c r="B40" s="482"/>
      <c r="C40" s="30">
        <v>20200</v>
      </c>
      <c r="D40" s="30">
        <v>20236</v>
      </c>
      <c r="E40" s="30">
        <v>560</v>
      </c>
      <c r="F40" s="336">
        <f>(E40/D40)*100</f>
        <v>2.7673453251630757</v>
      </c>
      <c r="G40" s="31"/>
      <c r="H40" s="31"/>
      <c r="I40" s="31"/>
      <c r="J40" s="69"/>
      <c r="K40" s="55"/>
      <c r="L40" s="255"/>
      <c r="M40" s="76"/>
      <c r="N40" s="69"/>
      <c r="O40" s="76"/>
    </row>
    <row r="41" spans="1:15" s="48" customFormat="1" x14ac:dyDescent="0.2">
      <c r="A41" s="51" t="s">
        <v>22</v>
      </c>
      <c r="B41" s="482"/>
      <c r="C41" s="339">
        <f>C42+C43</f>
        <v>373449</v>
      </c>
      <c r="D41" s="339">
        <f>D42+D43</f>
        <v>1332438</v>
      </c>
      <c r="E41" s="339">
        <f>E42+E43</f>
        <v>1004263</v>
      </c>
      <c r="F41" s="336">
        <f t="shared" si="10"/>
        <v>75.370336180745369</v>
      </c>
      <c r="G41" s="31"/>
      <c r="H41" s="31"/>
      <c r="I41" s="31"/>
      <c r="J41" s="193"/>
      <c r="K41" s="254"/>
      <c r="L41" s="76"/>
      <c r="M41" s="76"/>
      <c r="N41" s="69"/>
      <c r="O41" s="76"/>
    </row>
    <row r="42" spans="1:15" s="48" customFormat="1" x14ac:dyDescent="0.2">
      <c r="A42" s="28" t="s">
        <v>108</v>
      </c>
      <c r="B42" s="482"/>
      <c r="C42" s="30">
        <f>373761-2400</f>
        <v>371361</v>
      </c>
      <c r="D42" s="30">
        <f>1330774-624</f>
        <v>1330150</v>
      </c>
      <c r="E42" s="30">
        <f>1004787-524</f>
        <v>1004263</v>
      </c>
      <c r="F42" s="336">
        <f t="shared" si="10"/>
        <v>75.499981205127241</v>
      </c>
      <c r="G42" s="256"/>
      <c r="H42" s="256"/>
      <c r="I42" s="31"/>
      <c r="J42" s="193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82"/>
      <c r="C43" s="30">
        <v>2088</v>
      </c>
      <c r="D43" s="30">
        <v>2288</v>
      </c>
      <c r="E43" s="30">
        <v>0</v>
      </c>
      <c r="F43" s="336">
        <v>0</v>
      </c>
      <c r="G43" s="31"/>
      <c r="H43" s="31"/>
      <c r="I43" s="31"/>
      <c r="J43" s="193"/>
      <c r="K43" s="55"/>
      <c r="L43" s="76"/>
      <c r="M43" s="76"/>
      <c r="N43" s="69"/>
      <c r="O43" s="76"/>
    </row>
    <row r="44" spans="1:15" s="48" customFormat="1" x14ac:dyDescent="0.2">
      <c r="A44" s="483" t="s">
        <v>117</v>
      </c>
      <c r="B44" s="482"/>
      <c r="C44" s="484">
        <f>C45+C46</f>
        <v>0</v>
      </c>
      <c r="D44" s="484">
        <f t="shared" ref="D44:E44" si="11">D45+D46</f>
        <v>1922111</v>
      </c>
      <c r="E44" s="484">
        <f t="shared" si="11"/>
        <v>1830151</v>
      </c>
      <c r="F44" s="485">
        <f t="shared" si="10"/>
        <v>95.215676930208502</v>
      </c>
      <c r="G44" s="31"/>
      <c r="H44" s="31"/>
      <c r="I44" s="31"/>
      <c r="J44" s="69"/>
      <c r="K44" s="254"/>
      <c r="L44" s="76"/>
      <c r="M44" s="76"/>
      <c r="N44" s="69"/>
      <c r="O44" s="76"/>
    </row>
    <row r="45" spans="1:15" s="48" customFormat="1" x14ac:dyDescent="0.2">
      <c r="A45" s="28" t="s">
        <v>108</v>
      </c>
      <c r="B45" s="482"/>
      <c r="C45" s="30">
        <f>0+0</f>
        <v>0</v>
      </c>
      <c r="D45" s="30">
        <v>1922111</v>
      </c>
      <c r="E45" s="30">
        <v>1830151</v>
      </c>
      <c r="F45" s="336">
        <f t="shared" si="10"/>
        <v>95.215676930208502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307" t="s">
        <v>106</v>
      </c>
      <c r="B46" s="486"/>
      <c r="C46" s="337">
        <v>0</v>
      </c>
      <c r="D46" s="337">
        <v>0</v>
      </c>
      <c r="E46" s="337">
        <v>0</v>
      </c>
      <c r="F46" s="302">
        <v>0</v>
      </c>
      <c r="G46" s="31"/>
      <c r="H46" s="31"/>
      <c r="I46" s="166"/>
      <c r="J46" s="69"/>
      <c r="K46" s="55"/>
      <c r="L46" s="76"/>
      <c r="M46" s="69"/>
      <c r="N46" s="69"/>
      <c r="O46" s="76"/>
    </row>
    <row r="47" spans="1:15" ht="15" x14ac:dyDescent="0.25">
      <c r="A47" s="303" t="s">
        <v>23</v>
      </c>
      <c r="B47" s="304">
        <v>11</v>
      </c>
      <c r="C47" s="338">
        <f>C48+C52</f>
        <v>449527</v>
      </c>
      <c r="D47" s="338">
        <f>D48+D52</f>
        <v>780841</v>
      </c>
      <c r="E47" s="338">
        <f>E48+E52</f>
        <v>601710</v>
      </c>
      <c r="F47" s="335">
        <f t="shared" si="10"/>
        <v>77.059222043924436</v>
      </c>
      <c r="G47" s="251"/>
      <c r="H47" s="67"/>
      <c r="I47" s="67"/>
      <c r="J47" s="193"/>
      <c r="K47" s="67"/>
      <c r="L47" s="78"/>
      <c r="M47" s="78"/>
      <c r="N47" s="79"/>
      <c r="O47" s="78"/>
    </row>
    <row r="48" spans="1:15" s="32" customFormat="1" x14ac:dyDescent="0.2">
      <c r="A48" s="305" t="s">
        <v>21</v>
      </c>
      <c r="B48" s="306"/>
      <c r="C48" s="339">
        <f>C49+C50+C51</f>
        <v>68349</v>
      </c>
      <c r="D48" s="339">
        <f t="shared" ref="D48:E48" si="12">D49+D50+D51</f>
        <v>317755</v>
      </c>
      <c r="E48" s="339">
        <f t="shared" si="12"/>
        <v>303381</v>
      </c>
      <c r="F48" s="336">
        <f t="shared" si="10"/>
        <v>95.476389041871883</v>
      </c>
      <c r="G48" s="257"/>
      <c r="H48" s="257"/>
      <c r="I48" s="257"/>
      <c r="J48" s="193"/>
      <c r="K48" s="254"/>
      <c r="L48" s="53"/>
      <c r="M48" s="53"/>
      <c r="N48" s="54"/>
      <c r="O48" s="53"/>
    </row>
    <row r="49" spans="1:15" s="32" customFormat="1" x14ac:dyDescent="0.2">
      <c r="A49" s="28" t="s">
        <v>108</v>
      </c>
      <c r="B49" s="306"/>
      <c r="C49" s="30">
        <v>7986</v>
      </c>
      <c r="D49" s="30">
        <v>303800</v>
      </c>
      <c r="E49" s="30">
        <v>294802</v>
      </c>
      <c r="F49" s="336">
        <f t="shared" si="10"/>
        <v>97.038183015141541</v>
      </c>
      <c r="G49" s="257"/>
      <c r="H49" s="257"/>
      <c r="I49" s="257"/>
      <c r="J49" s="193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306"/>
      <c r="C50" s="30">
        <v>0</v>
      </c>
      <c r="D50" s="30">
        <v>0</v>
      </c>
      <c r="E50" s="30">
        <v>0</v>
      </c>
      <c r="F50" s="336">
        <v>0</v>
      </c>
      <c r="G50" s="257"/>
      <c r="H50" s="257"/>
      <c r="I50" s="257"/>
      <c r="J50" s="193"/>
      <c r="K50" s="55"/>
      <c r="L50" s="53"/>
      <c r="M50" s="53"/>
      <c r="N50" s="54"/>
      <c r="O50" s="53"/>
    </row>
    <row r="51" spans="1:15" s="32" customFormat="1" x14ac:dyDescent="0.2">
      <c r="A51" s="474" t="s">
        <v>109</v>
      </c>
      <c r="B51" s="306"/>
      <c r="C51" s="30">
        <v>60363</v>
      </c>
      <c r="D51" s="30">
        <v>13955</v>
      </c>
      <c r="E51" s="30">
        <v>8579</v>
      </c>
      <c r="F51" s="336">
        <f t="shared" si="10"/>
        <v>61.47617341454675</v>
      </c>
      <c r="G51" s="257"/>
      <c r="H51" s="257"/>
      <c r="I51" s="257"/>
      <c r="J51" s="193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304"/>
      <c r="C52" s="339">
        <f>C53+C54</f>
        <v>381178</v>
      </c>
      <c r="D52" s="339">
        <f t="shared" ref="D52:E52" si="13">D53+D54</f>
        <v>463086</v>
      </c>
      <c r="E52" s="339">
        <f t="shared" si="13"/>
        <v>298329</v>
      </c>
      <c r="F52" s="336">
        <f t="shared" ref="F52:F53" si="14">(E52/D52)*100</f>
        <v>64.42194322436869</v>
      </c>
      <c r="G52" s="257"/>
      <c r="H52" s="257"/>
      <c r="I52" s="257"/>
      <c r="J52" s="193"/>
      <c r="K52" s="254"/>
      <c r="L52" s="78"/>
      <c r="M52" s="78"/>
      <c r="N52" s="79"/>
      <c r="O52" s="78"/>
    </row>
    <row r="53" spans="1:15" ht="15" customHeight="1" x14ac:dyDescent="0.2">
      <c r="A53" s="28" t="s">
        <v>108</v>
      </c>
      <c r="B53" s="304"/>
      <c r="C53" s="30">
        <v>381178</v>
      </c>
      <c r="D53" s="30">
        <v>462790</v>
      </c>
      <c r="E53" s="30">
        <v>298250</v>
      </c>
      <c r="F53" s="336">
        <f t="shared" si="14"/>
        <v>64.446077054387516</v>
      </c>
      <c r="G53" s="31"/>
      <c r="H53" s="31"/>
      <c r="I53" s="31"/>
      <c r="J53" s="193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304"/>
      <c r="C54" s="30">
        <v>0</v>
      </c>
      <c r="D54" s="30">
        <v>296</v>
      </c>
      <c r="E54" s="30">
        <v>79</v>
      </c>
      <c r="F54" s="302">
        <v>0</v>
      </c>
      <c r="G54" s="31"/>
      <c r="H54" s="31"/>
      <c r="I54" s="31"/>
      <c r="J54" s="193"/>
      <c r="K54" s="55"/>
      <c r="L54" s="78"/>
      <c r="M54" s="78"/>
      <c r="N54" s="79"/>
      <c r="O54" s="78"/>
    </row>
    <row r="55" spans="1:15" ht="15" customHeight="1" x14ac:dyDescent="0.25">
      <c r="A55" s="319" t="s">
        <v>24</v>
      </c>
      <c r="B55" s="317">
        <v>12</v>
      </c>
      <c r="C55" s="334">
        <f>C56+C60</f>
        <v>2477560</v>
      </c>
      <c r="D55" s="334">
        <f>D56+D60</f>
        <v>2510998</v>
      </c>
      <c r="E55" s="334">
        <f>E56+E60</f>
        <v>685716</v>
      </c>
      <c r="F55" s="335">
        <f t="shared" si="10"/>
        <v>27.308504427323321</v>
      </c>
      <c r="G55" s="27"/>
      <c r="H55" s="67"/>
      <c r="I55" s="67"/>
      <c r="J55" s="193"/>
      <c r="K55" s="67"/>
      <c r="L55" s="78"/>
      <c r="M55" s="78"/>
      <c r="N55" s="79"/>
      <c r="O55" s="78"/>
    </row>
    <row r="56" spans="1:15" ht="15" customHeight="1" x14ac:dyDescent="0.2">
      <c r="A56" s="305" t="s">
        <v>21</v>
      </c>
      <c r="B56" s="304"/>
      <c r="C56" s="339">
        <f>C57+C58+C59</f>
        <v>32996</v>
      </c>
      <c r="D56" s="339">
        <f>D57+D58+D59</f>
        <v>42496</v>
      </c>
      <c r="E56" s="339">
        <f t="shared" ref="E56" si="15">E57+E58+E59</f>
        <v>8501</v>
      </c>
      <c r="F56" s="336">
        <f t="shared" si="10"/>
        <v>20.004235692771086</v>
      </c>
      <c r="G56" s="257"/>
      <c r="H56" s="257"/>
      <c r="I56" s="257"/>
      <c r="J56" s="193"/>
      <c r="K56" s="254"/>
      <c r="L56" s="78"/>
      <c r="M56" s="78"/>
      <c r="N56" s="79"/>
      <c r="O56" s="78"/>
    </row>
    <row r="57" spans="1:15" ht="15" customHeight="1" x14ac:dyDescent="0.2">
      <c r="A57" s="28" t="s">
        <v>108</v>
      </c>
      <c r="B57" s="304"/>
      <c r="C57" s="30">
        <v>12996</v>
      </c>
      <c r="D57" s="30">
        <v>12996</v>
      </c>
      <c r="E57" s="30">
        <v>1</v>
      </c>
      <c r="F57" s="336">
        <f t="shared" si="10"/>
        <v>7.6946752847029849E-3</v>
      </c>
      <c r="G57" s="31"/>
      <c r="H57" s="31"/>
      <c r="I57" s="31"/>
      <c r="J57" s="193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304"/>
      <c r="C58" s="30">
        <v>0</v>
      </c>
      <c r="D58" s="30">
        <v>0</v>
      </c>
      <c r="E58" s="30">
        <v>0</v>
      </c>
      <c r="F58" s="336">
        <v>0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x14ac:dyDescent="0.2">
      <c r="A59" s="474" t="s">
        <v>109</v>
      </c>
      <c r="B59" s="304"/>
      <c r="C59" s="30">
        <v>20000</v>
      </c>
      <c r="D59" s="30">
        <v>29500</v>
      </c>
      <c r="E59" s="30">
        <v>8500</v>
      </c>
      <c r="F59" s="336">
        <f t="shared" si="10"/>
        <v>28.8135593220339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304"/>
      <c r="C60" s="339">
        <f>C61+C62</f>
        <v>2444564</v>
      </c>
      <c r="D60" s="339">
        <f t="shared" ref="D60:E60" si="16">D61+D62</f>
        <v>2468502</v>
      </c>
      <c r="E60" s="339">
        <f t="shared" si="16"/>
        <v>677215</v>
      </c>
      <c r="F60" s="336">
        <f t="shared" si="10"/>
        <v>27.434249597529192</v>
      </c>
      <c r="G60" s="257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304"/>
      <c r="C61" s="30">
        <v>2278864</v>
      </c>
      <c r="D61" s="30">
        <v>2281169</v>
      </c>
      <c r="E61" s="30">
        <v>655582</v>
      </c>
      <c r="F61" s="336">
        <f>(E61/D61)*100</f>
        <v>28.738861522315972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322" t="s">
        <v>106</v>
      </c>
      <c r="B62" s="323"/>
      <c r="C62" s="350">
        <v>165700</v>
      </c>
      <c r="D62" s="350">
        <v>187333</v>
      </c>
      <c r="E62" s="350">
        <v>21633</v>
      </c>
      <c r="F62" s="351">
        <f t="shared" si="10"/>
        <v>11.547885316521915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20"/>
      <c r="C63" s="88"/>
      <c r="D63" s="88"/>
      <c r="E63" s="88"/>
      <c r="F63" s="321"/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Bot="1" x14ac:dyDescent="0.25">
      <c r="A64" s="298"/>
      <c r="B64" s="243"/>
      <c r="C64" s="299"/>
      <c r="D64" s="299"/>
      <c r="E64" s="299"/>
      <c r="F64" s="296" t="s">
        <v>0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thickBot="1" x14ac:dyDescent="0.25">
      <c r="A65" s="268" t="s">
        <v>9</v>
      </c>
      <c r="B65" s="269" t="s">
        <v>10</v>
      </c>
      <c r="C65" s="270" t="s">
        <v>11</v>
      </c>
      <c r="D65" s="270" t="s">
        <v>12</v>
      </c>
      <c r="E65" s="270" t="s">
        <v>4</v>
      </c>
      <c r="F65" s="271" t="s">
        <v>5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thickTop="1" thickBot="1" x14ac:dyDescent="0.25">
      <c r="A66" s="266">
        <v>1</v>
      </c>
      <c r="B66" s="264">
        <v>2</v>
      </c>
      <c r="C66" s="264">
        <v>3</v>
      </c>
      <c r="D66" s="264">
        <v>4</v>
      </c>
      <c r="E66" s="264">
        <v>5</v>
      </c>
      <c r="F66" s="272" t="s">
        <v>96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thickTop="1" x14ac:dyDescent="0.25">
      <c r="A67" s="319" t="s">
        <v>110</v>
      </c>
      <c r="B67" s="317">
        <v>13</v>
      </c>
      <c r="C67" s="334">
        <f>C68+C72</f>
        <v>404094</v>
      </c>
      <c r="D67" s="334">
        <f>D68+D72</f>
        <v>442243</v>
      </c>
      <c r="E67" s="334">
        <f>E68+E72</f>
        <v>106445</v>
      </c>
      <c r="F67" s="335">
        <f>(E67/D67)*100</f>
        <v>24.069346490504088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2" customFormat="1" x14ac:dyDescent="0.2">
      <c r="A68" s="305" t="s">
        <v>21</v>
      </c>
      <c r="B68" s="306"/>
      <c r="C68" s="339">
        <f>C69+C70+C71</f>
        <v>200567</v>
      </c>
      <c r="D68" s="339">
        <f t="shared" ref="D68:E68" si="17">D69+D70+D71</f>
        <v>249810</v>
      </c>
      <c r="E68" s="339">
        <f t="shared" si="17"/>
        <v>59100</v>
      </c>
      <c r="F68" s="336">
        <f t="shared" ref="F68:F74" si="18">(E68/D68)*100</f>
        <v>23.657980064849284</v>
      </c>
      <c r="G68" s="257"/>
      <c r="H68" s="257"/>
      <c r="I68" s="257"/>
      <c r="J68" s="193"/>
      <c r="K68" s="254"/>
      <c r="L68" s="53"/>
      <c r="M68" s="53"/>
      <c r="N68" s="54"/>
      <c r="O68" s="53"/>
    </row>
    <row r="69" spans="1:15" ht="15" customHeight="1" x14ac:dyDescent="0.2">
      <c r="A69" s="28" t="s">
        <v>108</v>
      </c>
      <c r="B69" s="304"/>
      <c r="C69" s="30">
        <v>24317</v>
      </c>
      <c r="D69" s="30">
        <v>46275</v>
      </c>
      <c r="E69" s="30">
        <v>16613</v>
      </c>
      <c r="F69" s="336">
        <f t="shared" si="18"/>
        <v>35.900594273365748</v>
      </c>
      <c r="G69" s="31"/>
      <c r="H69" s="31"/>
      <c r="I69" s="31"/>
      <c r="J69" s="193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304"/>
      <c r="C70" s="30">
        <v>0</v>
      </c>
      <c r="D70" s="30">
        <v>0</v>
      </c>
      <c r="E70" s="30">
        <v>0</v>
      </c>
      <c r="F70" s="336">
        <v>0</v>
      </c>
      <c r="G70" s="31"/>
      <c r="H70" s="31"/>
      <c r="I70" s="31"/>
      <c r="J70" s="193"/>
      <c r="K70" s="55"/>
      <c r="L70" s="78"/>
      <c r="M70" s="78"/>
      <c r="N70" s="79"/>
      <c r="O70" s="78"/>
    </row>
    <row r="71" spans="1:15" ht="15" customHeight="1" x14ac:dyDescent="0.2">
      <c r="A71" s="474" t="s">
        <v>109</v>
      </c>
      <c r="B71" s="304"/>
      <c r="C71" s="30">
        <v>176250</v>
      </c>
      <c r="D71" s="30">
        <v>203535</v>
      </c>
      <c r="E71" s="30">
        <v>42487</v>
      </c>
      <c r="F71" s="336">
        <f t="shared" si="18"/>
        <v>20.874542461984426</v>
      </c>
      <c r="G71" s="31"/>
      <c r="H71" s="31"/>
      <c r="I71" s="31"/>
      <c r="J71" s="193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304"/>
      <c r="C72" s="339">
        <f>C73+C74</f>
        <v>203527</v>
      </c>
      <c r="D72" s="339">
        <f>D73+D74</f>
        <v>192433</v>
      </c>
      <c r="E72" s="339">
        <f>E73+E74</f>
        <v>47345</v>
      </c>
      <c r="F72" s="336">
        <f t="shared" si="18"/>
        <v>24.603368445121159</v>
      </c>
      <c r="G72" s="257"/>
      <c r="H72" s="257"/>
      <c r="I72" s="257"/>
      <c r="J72" s="193"/>
      <c r="K72" s="254"/>
      <c r="L72" s="78"/>
      <c r="M72" s="78"/>
      <c r="N72" s="79"/>
      <c r="O72" s="78"/>
    </row>
    <row r="73" spans="1:15" ht="15" customHeight="1" x14ac:dyDescent="0.2">
      <c r="A73" s="28" t="s">
        <v>108</v>
      </c>
      <c r="B73" s="304"/>
      <c r="C73" s="30">
        <v>202122</v>
      </c>
      <c r="D73" s="30">
        <v>190648</v>
      </c>
      <c r="E73" s="30">
        <v>46510</v>
      </c>
      <c r="F73" s="336">
        <f t="shared" si="18"/>
        <v>24.395745037975747</v>
      </c>
      <c r="G73" s="31"/>
      <c r="H73" s="31"/>
      <c r="I73" s="31"/>
      <c r="J73" s="193"/>
      <c r="K73" s="55"/>
      <c r="L73" s="78"/>
      <c r="M73" s="78"/>
      <c r="N73" s="79"/>
      <c r="O73" s="78"/>
    </row>
    <row r="74" spans="1:15" ht="15" customHeight="1" x14ac:dyDescent="0.2">
      <c r="A74" s="307" t="s">
        <v>106</v>
      </c>
      <c r="B74" s="315"/>
      <c r="C74" s="337">
        <v>1405</v>
      </c>
      <c r="D74" s="337">
        <v>1785</v>
      </c>
      <c r="E74" s="337">
        <v>835</v>
      </c>
      <c r="F74" s="302">
        <f t="shared" si="18"/>
        <v>46.778711484593835</v>
      </c>
      <c r="G74" s="31"/>
      <c r="H74" s="31"/>
      <c r="I74" s="31"/>
      <c r="J74" s="193"/>
      <c r="K74" s="55"/>
      <c r="L74" s="78"/>
      <c r="M74" s="78"/>
      <c r="N74" s="79"/>
      <c r="O74" s="78"/>
    </row>
    <row r="75" spans="1:15" s="35" customFormat="1" ht="15" x14ac:dyDescent="0.25">
      <c r="A75" s="303" t="s">
        <v>25</v>
      </c>
      <c r="B75" s="304">
        <v>14</v>
      </c>
      <c r="C75" s="338">
        <f>C76+C80</f>
        <v>441305</v>
      </c>
      <c r="D75" s="338">
        <f>D76+D80</f>
        <v>453084</v>
      </c>
      <c r="E75" s="338">
        <f>E76+E80</f>
        <v>123165</v>
      </c>
      <c r="F75" s="335">
        <f t="shared" ref="F75:F103" si="19">(E75/D75)*100</f>
        <v>27.183701035569563</v>
      </c>
      <c r="G75" s="251"/>
      <c r="H75" s="67"/>
      <c r="I75" s="67"/>
      <c r="J75" s="193"/>
      <c r="K75" s="67"/>
      <c r="L75" s="53"/>
      <c r="M75" s="77"/>
      <c r="N75" s="44"/>
      <c r="O75" s="77"/>
    </row>
    <row r="76" spans="1:15" s="32" customFormat="1" x14ac:dyDescent="0.2">
      <c r="A76" s="305" t="s">
        <v>21</v>
      </c>
      <c r="B76" s="306"/>
      <c r="C76" s="339">
        <f>C77+C78+C79</f>
        <v>71828</v>
      </c>
      <c r="D76" s="339">
        <f t="shared" ref="D76:E76" si="20">D77+D78+D79</f>
        <v>68071</v>
      </c>
      <c r="E76" s="339">
        <f t="shared" si="20"/>
        <v>9601</v>
      </c>
      <c r="F76" s="336">
        <f t="shared" si="19"/>
        <v>14.10439100351104</v>
      </c>
      <c r="G76" s="257"/>
      <c r="H76" s="257"/>
      <c r="I76" s="257"/>
      <c r="J76" s="193"/>
      <c r="K76" s="254"/>
      <c r="L76" s="53"/>
      <c r="M76" s="53"/>
      <c r="N76" s="54"/>
      <c r="O76" s="53"/>
    </row>
    <row r="77" spans="1:15" s="32" customFormat="1" x14ac:dyDescent="0.2">
      <c r="A77" s="28" t="s">
        <v>108</v>
      </c>
      <c r="B77" s="306"/>
      <c r="C77" s="30">
        <v>55153</v>
      </c>
      <c r="D77" s="30">
        <v>51396</v>
      </c>
      <c r="E77" s="30">
        <v>9601</v>
      </c>
      <c r="F77" s="336">
        <f>(E77/D77)*100</f>
        <v>18.680442057747683</v>
      </c>
      <c r="G77" s="31"/>
      <c r="H77" s="31"/>
      <c r="I77" s="31"/>
      <c r="J77" s="193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306"/>
      <c r="C78" s="30">
        <v>0</v>
      </c>
      <c r="D78" s="30">
        <v>0</v>
      </c>
      <c r="E78" s="30">
        <v>0</v>
      </c>
      <c r="F78" s="336">
        <v>0</v>
      </c>
      <c r="G78" s="31"/>
      <c r="H78" s="31"/>
      <c r="I78" s="31"/>
      <c r="J78" s="193"/>
      <c r="K78" s="55"/>
      <c r="L78" s="53"/>
      <c r="M78" s="53"/>
      <c r="N78" s="54"/>
      <c r="O78" s="53"/>
    </row>
    <row r="79" spans="1:15" s="32" customFormat="1" x14ac:dyDescent="0.2">
      <c r="A79" s="474" t="s">
        <v>109</v>
      </c>
      <c r="B79" s="306"/>
      <c r="C79" s="30">
        <v>16675</v>
      </c>
      <c r="D79" s="30">
        <v>16675</v>
      </c>
      <c r="E79" s="30">
        <v>0</v>
      </c>
      <c r="F79" s="336">
        <f t="shared" si="19"/>
        <v>0</v>
      </c>
      <c r="G79" s="31"/>
      <c r="H79" s="31"/>
      <c r="I79" s="31"/>
      <c r="J79" s="193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306"/>
      <c r="C80" s="339">
        <f>C81+C82</f>
        <v>369477</v>
      </c>
      <c r="D80" s="339">
        <f t="shared" ref="D80:E80" si="21">D81+D82</f>
        <v>385013</v>
      </c>
      <c r="E80" s="339">
        <f t="shared" si="21"/>
        <v>113564</v>
      </c>
      <c r="F80" s="340">
        <f>(E80/D80)*100</f>
        <v>29.496146883351994</v>
      </c>
      <c r="G80" s="257"/>
      <c r="H80" s="257"/>
      <c r="I80" s="257"/>
      <c r="J80" s="193"/>
      <c r="K80" s="254"/>
      <c r="L80" s="53"/>
      <c r="M80" s="53"/>
      <c r="N80" s="54"/>
      <c r="O80" s="53"/>
    </row>
    <row r="81" spans="1:15" s="32" customFormat="1" x14ac:dyDescent="0.2">
      <c r="A81" s="28" t="s">
        <v>108</v>
      </c>
      <c r="B81" s="306"/>
      <c r="C81" s="30">
        <v>369477</v>
      </c>
      <c r="D81" s="30">
        <v>371026</v>
      </c>
      <c r="E81" s="30">
        <v>113564</v>
      </c>
      <c r="F81" s="340">
        <f t="shared" ref="F81:F82" si="22">(E81/D81)*100</f>
        <v>30.608097545724561</v>
      </c>
      <c r="G81" s="31"/>
      <c r="H81" s="31"/>
      <c r="I81" s="31"/>
      <c r="J81" s="193"/>
      <c r="K81" s="55"/>
      <c r="L81" s="53"/>
      <c r="M81" s="53"/>
      <c r="N81" s="54"/>
      <c r="O81" s="53"/>
    </row>
    <row r="82" spans="1:15" s="32" customFormat="1" x14ac:dyDescent="0.2">
      <c r="A82" s="307" t="s">
        <v>106</v>
      </c>
      <c r="B82" s="308"/>
      <c r="C82" s="337">
        <v>0</v>
      </c>
      <c r="D82" s="337">
        <v>13987</v>
      </c>
      <c r="E82" s="337">
        <v>0</v>
      </c>
      <c r="F82" s="341">
        <f t="shared" si="22"/>
        <v>0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303" t="s">
        <v>26</v>
      </c>
      <c r="B83" s="304">
        <v>16</v>
      </c>
      <c r="C83" s="338">
        <v>0</v>
      </c>
      <c r="D83" s="338">
        <v>0</v>
      </c>
      <c r="E83" s="338">
        <v>0</v>
      </c>
      <c r="F83" s="335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309" t="s">
        <v>99</v>
      </c>
      <c r="B84" s="310">
        <v>17</v>
      </c>
      <c r="C84" s="334">
        <f>C85+C86</f>
        <v>318566</v>
      </c>
      <c r="D84" s="334">
        <f t="shared" ref="D84:E84" si="23">D85+D86</f>
        <v>264442</v>
      </c>
      <c r="E84" s="334">
        <f t="shared" si="23"/>
        <v>26169</v>
      </c>
      <c r="F84" s="342">
        <f t="shared" si="19"/>
        <v>9.895931811134389</v>
      </c>
      <c r="G84" s="251"/>
      <c r="H84" s="27"/>
      <c r="I84" s="27"/>
      <c r="J84" s="193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3455</v>
      </c>
      <c r="D85" s="30">
        <v>8893</v>
      </c>
      <c r="E85" s="30">
        <v>1903</v>
      </c>
      <c r="F85" s="336">
        <f t="shared" si="19"/>
        <v>21.398853030473404</v>
      </c>
      <c r="G85" s="31"/>
      <c r="H85" s="31"/>
      <c r="I85" s="31"/>
      <c r="J85" s="193"/>
      <c r="K85" s="55"/>
      <c r="L85" s="77"/>
      <c r="M85" s="258"/>
      <c r="N85" s="44"/>
      <c r="O85" s="77"/>
    </row>
    <row r="86" spans="1:15" s="35" customFormat="1" x14ac:dyDescent="0.2">
      <c r="A86" s="307" t="s">
        <v>106</v>
      </c>
      <c r="B86" s="311"/>
      <c r="C86" s="337">
        <v>315111</v>
      </c>
      <c r="D86" s="337">
        <v>255549</v>
      </c>
      <c r="E86" s="337">
        <v>24266</v>
      </c>
      <c r="F86" s="302">
        <f t="shared" si="19"/>
        <v>9.4956348880253874</v>
      </c>
      <c r="G86" s="31"/>
      <c r="H86" s="31"/>
      <c r="I86" s="31"/>
      <c r="J86" s="193"/>
      <c r="K86" s="55"/>
      <c r="L86" s="77"/>
      <c r="M86" s="259"/>
      <c r="N86" s="44"/>
      <c r="O86" s="77"/>
    </row>
    <row r="87" spans="1:15" s="35" customFormat="1" ht="15" x14ac:dyDescent="0.25">
      <c r="A87" s="312" t="s">
        <v>100</v>
      </c>
      <c r="B87" s="313">
        <v>18</v>
      </c>
      <c r="C87" s="338">
        <f>C88+C89+C90</f>
        <v>88592</v>
      </c>
      <c r="D87" s="338">
        <f t="shared" ref="D87:E87" si="24">D88+D89+D90</f>
        <v>105264</v>
      </c>
      <c r="E87" s="338">
        <f t="shared" si="24"/>
        <v>10298</v>
      </c>
      <c r="F87" s="335">
        <f t="shared" si="19"/>
        <v>9.7830217358261145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108</v>
      </c>
      <c r="B88" s="37"/>
      <c r="C88" s="30">
        <v>61592</v>
      </c>
      <c r="D88" s="30">
        <v>76492</v>
      </c>
      <c r="E88" s="30">
        <v>10298</v>
      </c>
      <c r="F88" s="336">
        <f>(E88/D88)*100</f>
        <v>13.462845787794803</v>
      </c>
      <c r="G88" s="31"/>
      <c r="H88" s="31"/>
      <c r="I88" s="31"/>
      <c r="J88" s="193"/>
      <c r="K88" s="55"/>
      <c r="L88" s="77"/>
      <c r="M88" s="258"/>
      <c r="N88" s="44"/>
      <c r="O88" s="77"/>
    </row>
    <row r="89" spans="1:15" s="35" customFormat="1" x14ac:dyDescent="0.2">
      <c r="A89" s="28" t="s">
        <v>106</v>
      </c>
      <c r="B89" s="37"/>
      <c r="C89" s="30">
        <v>0</v>
      </c>
      <c r="D89" s="30">
        <v>400</v>
      </c>
      <c r="E89" s="30">
        <v>0</v>
      </c>
      <c r="F89" s="336">
        <f>(E89/D89)*100</f>
        <v>0</v>
      </c>
      <c r="G89" s="31"/>
      <c r="H89" s="31"/>
      <c r="I89" s="31"/>
      <c r="J89" s="54"/>
      <c r="K89" s="55"/>
      <c r="L89" s="77"/>
      <c r="M89" s="259"/>
      <c r="N89" s="44"/>
      <c r="O89" s="77"/>
    </row>
    <row r="90" spans="1:15" s="35" customFormat="1" x14ac:dyDescent="0.2">
      <c r="A90" s="471" t="s">
        <v>109</v>
      </c>
      <c r="B90" s="308"/>
      <c r="C90" s="337">
        <v>27000</v>
      </c>
      <c r="D90" s="337">
        <v>28372</v>
      </c>
      <c r="E90" s="337">
        <v>0</v>
      </c>
      <c r="F90" s="302">
        <f>(E90/D90)*100</f>
        <v>0</v>
      </c>
      <c r="G90" s="31"/>
      <c r="H90" s="31"/>
      <c r="I90" s="31"/>
      <c r="J90" s="31"/>
      <c r="K90" s="55"/>
      <c r="L90" s="77"/>
      <c r="M90" s="46"/>
      <c r="N90" s="44"/>
      <c r="O90" s="77"/>
    </row>
    <row r="91" spans="1:15" s="35" customFormat="1" ht="15" x14ac:dyDescent="0.25">
      <c r="A91" s="314" t="s">
        <v>90</v>
      </c>
      <c r="B91" s="315">
        <v>20</v>
      </c>
      <c r="C91" s="343">
        <v>498</v>
      </c>
      <c r="D91" s="343">
        <v>498</v>
      </c>
      <c r="E91" s="343">
        <v>0</v>
      </c>
      <c r="F91" s="330">
        <f t="shared" si="19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3" t="s">
        <v>27</v>
      </c>
      <c r="B92" s="304" t="s">
        <v>125</v>
      </c>
      <c r="C92" s="338">
        <f>SUM(C93:C95)</f>
        <v>675836</v>
      </c>
      <c r="D92" s="338">
        <f t="shared" ref="D92:E92" si="25">SUM(D93:D95)</f>
        <v>918731</v>
      </c>
      <c r="E92" s="338">
        <f t="shared" si="25"/>
        <v>145993</v>
      </c>
      <c r="F92" s="335">
        <f t="shared" si="19"/>
        <v>15.890723182302546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108</v>
      </c>
      <c r="B93" s="304"/>
      <c r="C93" s="30">
        <f>53833-C95</f>
        <v>53833</v>
      </c>
      <c r="D93" s="30">
        <f>145372-D95</f>
        <v>145372</v>
      </c>
      <c r="E93" s="30">
        <f>91355-E95</f>
        <v>55892</v>
      </c>
      <c r="F93" s="336">
        <f t="shared" si="19"/>
        <v>38.447568995404893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106</v>
      </c>
      <c r="B94" s="304"/>
      <c r="C94" s="30">
        <v>622003</v>
      </c>
      <c r="D94" s="30">
        <v>773359</v>
      </c>
      <c r="E94" s="30">
        <v>54638</v>
      </c>
      <c r="F94" s="336">
        <f t="shared" si="19"/>
        <v>7.0650241349748306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474" t="s">
        <v>107</v>
      </c>
      <c r="B95" s="304"/>
      <c r="C95" s="30">
        <v>0</v>
      </c>
      <c r="D95" s="30">
        <v>0</v>
      </c>
      <c r="E95" s="30">
        <v>35463</v>
      </c>
      <c r="F95" s="302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16" t="s">
        <v>44</v>
      </c>
      <c r="B96" s="317">
        <v>99</v>
      </c>
      <c r="C96" s="334">
        <f>+C99+C97+C98</f>
        <v>34300</v>
      </c>
      <c r="D96" s="334">
        <f t="shared" ref="D96:E96" si="26">+D99+D97+D98</f>
        <v>34300</v>
      </c>
      <c r="E96" s="334">
        <f t="shared" si="26"/>
        <v>0</v>
      </c>
      <c r="F96" s="335">
        <f t="shared" si="19"/>
        <v>0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108</v>
      </c>
      <c r="B97" s="304"/>
      <c r="C97" s="30">
        <v>0</v>
      </c>
      <c r="D97" s="30">
        <v>0</v>
      </c>
      <c r="E97" s="30">
        <v>0</v>
      </c>
      <c r="F97" s="336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106</v>
      </c>
      <c r="B98" s="304"/>
      <c r="C98" s="30">
        <v>0</v>
      </c>
      <c r="D98" s="30">
        <v>0</v>
      </c>
      <c r="E98" s="30">
        <v>0</v>
      </c>
      <c r="F98" s="336">
        <v>0</v>
      </c>
      <c r="G98" s="31"/>
      <c r="H98" s="31"/>
      <c r="I98" s="31"/>
      <c r="J98" s="193"/>
      <c r="K98" s="55"/>
      <c r="L98" s="77"/>
      <c r="M98" s="260"/>
      <c r="N98" s="44"/>
      <c r="O98" s="77"/>
    </row>
    <row r="99" spans="1:15" s="35" customFormat="1" x14ac:dyDescent="0.2">
      <c r="A99" s="471" t="s">
        <v>109</v>
      </c>
      <c r="B99" s="315"/>
      <c r="C99" s="337">
        <v>34300</v>
      </c>
      <c r="D99" s="337">
        <v>34300</v>
      </c>
      <c r="E99" s="337">
        <v>0</v>
      </c>
      <c r="F99" s="302">
        <f t="shared" si="19"/>
        <v>0</v>
      </c>
      <c r="G99" s="31"/>
      <c r="H99" s="31"/>
      <c r="I99" s="31"/>
      <c r="J99" s="193"/>
      <c r="K99" s="55"/>
      <c r="L99" s="77"/>
      <c r="M99" s="260"/>
      <c r="N99" s="44"/>
      <c r="O99" s="77"/>
    </row>
    <row r="100" spans="1:15" s="35" customFormat="1" ht="15" x14ac:dyDescent="0.25">
      <c r="A100" s="318" t="s">
        <v>28</v>
      </c>
      <c r="B100" s="304">
        <v>199</v>
      </c>
      <c r="C100" s="338">
        <f>C101</f>
        <v>11328</v>
      </c>
      <c r="D100" s="338">
        <f>D101</f>
        <v>11328</v>
      </c>
      <c r="E100" s="338">
        <f>E101</f>
        <v>2823</v>
      </c>
      <c r="F100" s="335">
        <f t="shared" si="19"/>
        <v>24.920550847457626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108</v>
      </c>
      <c r="B101" s="304"/>
      <c r="C101" s="30">
        <v>11328</v>
      </c>
      <c r="D101" s="30">
        <v>11328</v>
      </c>
      <c r="E101" s="30">
        <v>2823</v>
      </c>
      <c r="F101" s="336">
        <f t="shared" si="19"/>
        <v>24.920550847457626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106</v>
      </c>
      <c r="B102" s="315"/>
      <c r="C102" s="337">
        <v>0</v>
      </c>
      <c r="D102" s="337">
        <v>0</v>
      </c>
      <c r="E102" s="337">
        <v>0</v>
      </c>
      <c r="F102" s="336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520" t="s">
        <v>29</v>
      </c>
      <c r="B103" s="521"/>
      <c r="C103" s="85">
        <f>C6+C14+C17+C23+C28+C32+C36+C47+C55+C75+C83+C84+C92+C96+C100+C87+C91+C67+C20+C10</f>
        <v>6363829</v>
      </c>
      <c r="D103" s="85">
        <f t="shared" ref="D103:E103" si="27">D6+D14+D17+D23+D28+D32+D36+D47+D55+D75+D83+D84+D92+D96+D100+D87+D91+D67+D20+D10</f>
        <v>9851113</v>
      </c>
      <c r="E103" s="85">
        <f t="shared" si="27"/>
        <v>9429117</v>
      </c>
      <c r="F103" s="330">
        <f t="shared" si="19"/>
        <v>95.716260690543294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475" t="s">
        <v>111</v>
      </c>
      <c r="B104" s="476"/>
      <c r="C104" s="30">
        <f>C95+C27+C9+C13</f>
        <v>11315</v>
      </c>
      <c r="D104" s="30">
        <f>D95+D27+D9+D13</f>
        <v>11315</v>
      </c>
      <c r="E104" s="30">
        <f>E95+E27+E9+E13</f>
        <v>4769459</v>
      </c>
      <c r="F104" s="302">
        <f>(E104/D104)*100</f>
        <v>42151.648254529384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6352514</v>
      </c>
      <c r="D105" s="84">
        <f>D103-D104</f>
        <v>9839798</v>
      </c>
      <c r="E105" s="84">
        <f>E103-E104</f>
        <v>4659658</v>
      </c>
      <c r="F105" s="331">
        <f>(E105/D105)*100</f>
        <v>47.355220096997925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516" t="s">
        <v>124</v>
      </c>
      <c r="B106" s="516"/>
      <c r="C106" s="516"/>
      <c r="D106" s="516"/>
      <c r="E106" s="516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516"/>
      <c r="B107" s="516"/>
      <c r="C107" s="516"/>
      <c r="D107" s="516"/>
      <c r="E107" s="516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93</v>
      </c>
      <c r="F111" s="296" t="s">
        <v>0</v>
      </c>
      <c r="J111" s="52"/>
    </row>
    <row r="112" spans="1:15" ht="25.5" customHeight="1" thickTop="1" thickBot="1" x14ac:dyDescent="0.25">
      <c r="A112" s="529" t="s">
        <v>91</v>
      </c>
      <c r="B112" s="530"/>
      <c r="C112" s="273" t="s">
        <v>11</v>
      </c>
      <c r="D112" s="273" t="s">
        <v>12</v>
      </c>
      <c r="E112" s="273" t="s">
        <v>4</v>
      </c>
      <c r="F112" s="274" t="s">
        <v>5</v>
      </c>
      <c r="J112" s="52"/>
    </row>
    <row r="113" spans="1:14" ht="15.75" thickTop="1" thickBot="1" x14ac:dyDescent="0.25">
      <c r="A113" s="529">
        <v>1</v>
      </c>
      <c r="B113" s="530"/>
      <c r="C113" s="273">
        <v>2</v>
      </c>
      <c r="D113" s="273">
        <v>3</v>
      </c>
      <c r="E113" s="273">
        <v>4</v>
      </c>
      <c r="F113" s="272" t="s">
        <v>95</v>
      </c>
      <c r="J113" s="52"/>
      <c r="K113" s="17"/>
      <c r="N113" s="17"/>
    </row>
    <row r="114" spans="1:14" ht="15" thickTop="1" x14ac:dyDescent="0.2">
      <c r="A114" s="531" t="s">
        <v>112</v>
      </c>
      <c r="B114" s="532"/>
      <c r="C114" s="300">
        <f>C101+C97+C93+C88+C85+C81+C77+C69+C61+C57+C53+C49+C45+C42+C38+C33+C29+C24+C21+C18+C15+C7+C91+C83+C11+C73+413291</f>
        <v>5143950</v>
      </c>
      <c r="D114" s="300">
        <f>D101+D97+D93+D88+D85+D81+D77+D69+D61+D57+D53+D49+D45+D42+D38+D33+D29+D24+D21+D18+D15+D7+D91+D83+D11+D73+336481</f>
        <v>8476442</v>
      </c>
      <c r="E114" s="300">
        <f>E101+E97+E93+E88+E85+E81+E77+E69+E61+E57+E53+E49+E45+E42+E38+E33+E29+E24+E21+E18+E15+E7+E91+E83+E11+E73+44042</f>
        <v>4531957</v>
      </c>
      <c r="F114" s="301">
        <f>E114/D114*100</f>
        <v>53.465321888594296</v>
      </c>
      <c r="J114" s="52"/>
      <c r="K114" s="17"/>
      <c r="N114" s="17"/>
    </row>
    <row r="115" spans="1:14" ht="12" customHeight="1" x14ac:dyDescent="0.2">
      <c r="A115" s="533" t="s">
        <v>113</v>
      </c>
      <c r="B115" s="534"/>
      <c r="C115" s="241">
        <f>C102+C98+C89+C86+C82+C78+C70+C62+C58+C54+C50+C46+C43+C39+C34+C30+C25+C22+C19+C16+C8+C94+C12+C74+90250</f>
        <v>1208564</v>
      </c>
      <c r="D115" s="241">
        <f>D102+D98+D89+D86+D82+D78+D70+D62+D58+D54+D50+D46+D43+D39+D34+D30+D25+D22+D19+D16+D8+D94+D12+D74+116072</f>
        <v>1363356</v>
      </c>
      <c r="E115" s="241">
        <f>E102+E98+E89+E86+E82+E78+E70+E62+E58+E54+E50+E46+E43+E39+E34+E30+E25+E22+E19+E16+E8+E94+E12+E74+25822</f>
        <v>127701</v>
      </c>
      <c r="F115" s="242">
        <f>E115/D115*100</f>
        <v>9.3666657864857026</v>
      </c>
      <c r="J115" s="52"/>
      <c r="K115" s="17"/>
      <c r="N115" s="17"/>
    </row>
    <row r="116" spans="1:14" hidden="1" x14ac:dyDescent="0.2">
      <c r="A116" s="535" t="s">
        <v>109</v>
      </c>
      <c r="B116" s="536"/>
      <c r="C116" s="348"/>
      <c r="D116" s="348"/>
      <c r="E116" s="348"/>
      <c r="F116" s="349" t="e">
        <f>E116/D116*100</f>
        <v>#DIV/0!</v>
      </c>
      <c r="J116" s="52"/>
      <c r="K116" s="17"/>
      <c r="N116" s="17"/>
    </row>
    <row r="117" spans="1:14" ht="15" thickBot="1" x14ac:dyDescent="0.25">
      <c r="A117" s="525" t="s">
        <v>111</v>
      </c>
      <c r="B117" s="526"/>
      <c r="C117" s="332">
        <f>C104</f>
        <v>11315</v>
      </c>
      <c r="D117" s="332">
        <f>D104</f>
        <v>11315</v>
      </c>
      <c r="E117" s="332">
        <f>E104</f>
        <v>4769459</v>
      </c>
      <c r="F117" s="333">
        <f>(E117/D117)*100</f>
        <v>42151.648254529384</v>
      </c>
      <c r="J117" s="52"/>
      <c r="K117" s="17"/>
      <c r="N117" s="17"/>
    </row>
    <row r="118" spans="1:14" ht="15" customHeight="1" thickTop="1" x14ac:dyDescent="0.2">
      <c r="A118" s="527" t="s">
        <v>122</v>
      </c>
      <c r="B118" s="528"/>
      <c r="C118" s="328">
        <f>C114+C115+C116+C117</f>
        <v>6363829</v>
      </c>
      <c r="D118" s="328">
        <f t="shared" ref="D118:E118" si="28">D114+D115+D116+D117</f>
        <v>9851113</v>
      </c>
      <c r="E118" s="328">
        <f t="shared" si="28"/>
        <v>9429117</v>
      </c>
      <c r="F118" s="329">
        <f>(E118/D118)*100</f>
        <v>95.716260690543294</v>
      </c>
      <c r="J118" s="52"/>
      <c r="K118" s="17"/>
      <c r="N118" s="17"/>
    </row>
    <row r="119" spans="1:14" x14ac:dyDescent="0.2">
      <c r="A119" s="518" t="s">
        <v>111</v>
      </c>
      <c r="B119" s="519"/>
      <c r="C119" s="472">
        <f>C117</f>
        <v>11315</v>
      </c>
      <c r="D119" s="472">
        <f t="shared" ref="D119" si="29">D117</f>
        <v>11315</v>
      </c>
      <c r="E119" s="472">
        <f>E117</f>
        <v>4769459</v>
      </c>
      <c r="F119" s="473">
        <f>(E119/D119)*100</f>
        <v>42151.648254529384</v>
      </c>
      <c r="H119" s="56"/>
      <c r="I119" s="56"/>
      <c r="J119" s="56"/>
      <c r="K119" s="17"/>
      <c r="N119" s="17"/>
    </row>
    <row r="120" spans="1:14" ht="15.75" thickBot="1" x14ac:dyDescent="0.3">
      <c r="A120" s="325" t="s">
        <v>123</v>
      </c>
      <c r="B120" s="326"/>
      <c r="C120" s="327">
        <f>C118-C119</f>
        <v>6352514</v>
      </c>
      <c r="D120" s="327">
        <f>D118-D119</f>
        <v>9839798</v>
      </c>
      <c r="E120" s="327">
        <f>E118-E119</f>
        <v>4659658</v>
      </c>
      <c r="F120" s="324">
        <f>(E120/D120)*100</f>
        <v>47.355220096997925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27. 6. 2022
8.3. - Rozpočet Olomouckého kraje 2022 - plnění rozpočtu k 31. 3. 2022
Příloha č.2 - Plnění rozpočtu Olomouckého kraje k 31. 3. 2022&amp;R&amp;"Arial,Kurzíva"Strana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C12" sqref="C1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7" t="s">
        <v>155</v>
      </c>
      <c r="B1" s="517"/>
      <c r="C1" s="517"/>
      <c r="D1" s="517"/>
      <c r="E1" s="517"/>
    </row>
    <row r="3" spans="1:7" x14ac:dyDescent="0.2">
      <c r="A3" s="512" t="s">
        <v>97</v>
      </c>
      <c r="B3" s="512"/>
      <c r="C3" s="512"/>
      <c r="D3" s="512"/>
      <c r="E3" s="512"/>
    </row>
    <row r="4" spans="1:7" ht="30.75" customHeight="1" x14ac:dyDescent="0.2">
      <c r="A4" s="512"/>
      <c r="B4" s="512"/>
      <c r="C4" s="512"/>
      <c r="D4" s="512"/>
      <c r="E4" s="512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8" t="s">
        <v>88</v>
      </c>
      <c r="B7" s="269" t="s">
        <v>11</v>
      </c>
      <c r="C7" s="270" t="s">
        <v>12</v>
      </c>
      <c r="D7" s="270" t="s">
        <v>4</v>
      </c>
      <c r="E7" s="270" t="s">
        <v>5</v>
      </c>
      <c r="F7" s="13"/>
      <c r="G7" s="13"/>
    </row>
    <row r="8" spans="1:7" ht="14.25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4" t="s">
        <v>6</v>
      </c>
      <c r="F8" s="13"/>
      <c r="G8" s="13"/>
    </row>
    <row r="9" spans="1:7" ht="15" hidden="1" thickTop="1" x14ac:dyDescent="0.2">
      <c r="A9" s="246" t="s">
        <v>114</v>
      </c>
      <c r="B9" s="247">
        <v>0</v>
      </c>
      <c r="C9" s="248">
        <v>0</v>
      </c>
      <c r="D9" s="248">
        <v>0</v>
      </c>
      <c r="E9" s="80" t="e">
        <f>(D9/C9)*100</f>
        <v>#DIV/0!</v>
      </c>
      <c r="F9" s="13"/>
      <c r="G9" s="13"/>
    </row>
    <row r="10" spans="1:7" ht="29.25" thickTop="1" x14ac:dyDescent="0.2">
      <c r="A10" s="244" t="s">
        <v>115</v>
      </c>
      <c r="B10" s="249">
        <v>213000</v>
      </c>
      <c r="C10" s="245">
        <v>442596</v>
      </c>
      <c r="D10" s="245">
        <v>-72106</v>
      </c>
      <c r="E10" s="237">
        <f>(D10/C10)*100</f>
        <v>-16.291606792650633</v>
      </c>
      <c r="F10" s="13"/>
      <c r="G10" s="13"/>
    </row>
    <row r="11" spans="1:7" ht="28.5" x14ac:dyDescent="0.2">
      <c r="A11" s="244" t="s">
        <v>119</v>
      </c>
      <c r="B11" s="249">
        <v>0</v>
      </c>
      <c r="C11" s="245">
        <v>300000</v>
      </c>
      <c r="D11" s="245"/>
      <c r="E11" s="237"/>
      <c r="F11" s="13"/>
      <c r="G11" s="13"/>
    </row>
    <row r="12" spans="1:7" ht="28.5" x14ac:dyDescent="0.2">
      <c r="A12" s="244" t="s">
        <v>121</v>
      </c>
      <c r="B12" s="249">
        <v>0</v>
      </c>
      <c r="C12" s="245">
        <v>-300000</v>
      </c>
      <c r="D12" s="245">
        <v>-300000</v>
      </c>
      <c r="E12" s="237"/>
      <c r="F12" s="13"/>
      <c r="G12" s="13"/>
    </row>
    <row r="13" spans="1:7" ht="14.25" x14ac:dyDescent="0.2">
      <c r="A13" s="244" t="s">
        <v>120</v>
      </c>
      <c r="B13" s="249">
        <v>500000</v>
      </c>
      <c r="C13" s="245">
        <v>500000</v>
      </c>
      <c r="D13" s="245">
        <v>100000</v>
      </c>
      <c r="E13" s="237">
        <f t="shared" ref="E13" si="0">(D13/C13)*100</f>
        <v>20</v>
      </c>
      <c r="F13" s="13"/>
      <c r="G13" s="13"/>
    </row>
    <row r="14" spans="1:7" ht="15" x14ac:dyDescent="0.25">
      <c r="A14" s="223" t="s">
        <v>116</v>
      </c>
      <c r="B14" s="227">
        <v>-271341</v>
      </c>
      <c r="C14" s="232">
        <v>-278184</v>
      </c>
      <c r="D14" s="232">
        <v>-23509</v>
      </c>
      <c r="E14" s="237">
        <f>(D14/C14)*100</f>
        <v>8.4508814309953113</v>
      </c>
      <c r="F14" s="27"/>
      <c r="G14" s="13"/>
    </row>
    <row r="15" spans="1:7" ht="43.5" x14ac:dyDescent="0.25">
      <c r="A15" s="352" t="s">
        <v>129</v>
      </c>
      <c r="B15" s="353">
        <v>0</v>
      </c>
      <c r="C15" s="354">
        <v>0</v>
      </c>
      <c r="D15" s="354">
        <v>-1127</v>
      </c>
      <c r="E15" s="261"/>
      <c r="F15" s="27"/>
      <c r="G15" s="13"/>
    </row>
    <row r="16" spans="1:7" ht="16.5" thickBot="1" x14ac:dyDescent="0.3">
      <c r="A16" s="238" t="s">
        <v>89</v>
      </c>
      <c r="B16" s="239">
        <f>SUM(B9:B15)</f>
        <v>441659</v>
      </c>
      <c r="C16" s="239">
        <f>SUM(C9:C15)</f>
        <v>664412</v>
      </c>
      <c r="D16" s="239">
        <f>SUM(D9:D15)</f>
        <v>-296742</v>
      </c>
      <c r="E16" s="240">
        <f>(D16/C16)*100</f>
        <v>-44.662348061142787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27. 6. 2022
8.3. - Rozpočet Olomouckého kraje 2022 - plnění rozpočtu k 31. 3. 2022
Příloha č. 2 - Plnění rozpočtu Olomouckého kraje k 31. 3. 2022&amp;R&amp;"Arial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540" t="s">
        <v>158</v>
      </c>
      <c r="B1" s="540"/>
      <c r="C1" s="540"/>
      <c r="D1" s="540"/>
      <c r="E1" s="540"/>
      <c r="F1" s="540"/>
      <c r="G1" s="540"/>
      <c r="H1" s="540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541" t="s">
        <v>73</v>
      </c>
      <c r="H4" s="541"/>
    </row>
    <row r="5" spans="1:21" s="93" customFormat="1" ht="14.25" customHeight="1" thickTop="1" thickBot="1" x14ac:dyDescent="0.25">
      <c r="A5" s="275"/>
      <c r="B5" s="276"/>
      <c r="C5" s="276"/>
      <c r="D5" s="277"/>
      <c r="E5" s="264" t="s">
        <v>11</v>
      </c>
      <c r="F5" s="264" t="s">
        <v>12</v>
      </c>
      <c r="G5" s="264" t="s">
        <v>4</v>
      </c>
      <c r="H5" s="267" t="s">
        <v>5</v>
      </c>
    </row>
    <row r="6" spans="1:21" s="93" customFormat="1" ht="14.25" customHeight="1" thickTop="1" thickBot="1" x14ac:dyDescent="0.25">
      <c r="A6" s="537">
        <v>1</v>
      </c>
      <c r="B6" s="538"/>
      <c r="C6" s="538"/>
      <c r="D6" s="539"/>
      <c r="E6" s="278">
        <v>2</v>
      </c>
      <c r="F6" s="278">
        <v>3</v>
      </c>
      <c r="G6" s="278">
        <v>4</v>
      </c>
      <c r="H6" s="279" t="s">
        <v>95</v>
      </c>
    </row>
    <row r="7" spans="1:21" s="96" customFormat="1" ht="19.5" thickTop="1" x14ac:dyDescent="0.4">
      <c r="A7" s="280" t="s">
        <v>38</v>
      </c>
      <c r="B7" s="281"/>
      <c r="C7" s="281"/>
      <c r="D7" s="282"/>
      <c r="E7" s="283">
        <f>'Příjmy OK - příloha č. 2'!B15</f>
        <v>5910855</v>
      </c>
      <c r="F7" s="283">
        <f>'Příjmy OK - příloha č. 2'!C15</f>
        <v>9175386</v>
      </c>
      <c r="G7" s="283">
        <f>'Příjmy OK - příloha č. 2'!D15</f>
        <v>4956400</v>
      </c>
      <c r="H7" s="284">
        <f>(G7/F7)*100</f>
        <v>54.018435845641811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5" t="s">
        <v>39</v>
      </c>
      <c r="B8" s="286"/>
      <c r="C8" s="286"/>
      <c r="D8" s="287"/>
      <c r="E8" s="288">
        <f>'Výdaje OK - příloha č. 2'!C105</f>
        <v>6352514</v>
      </c>
      <c r="F8" s="288">
        <f>'Výdaje OK - příloha č. 2'!D105</f>
        <v>9839798</v>
      </c>
      <c r="G8" s="288">
        <f>'Výdaje OK - příloha č. 2'!E105</f>
        <v>4659658</v>
      </c>
      <c r="H8" s="289">
        <f>(G8/F8)*100</f>
        <v>47.355220096997925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5" t="s">
        <v>88</v>
      </c>
      <c r="B9" s="286"/>
      <c r="C9" s="286"/>
      <c r="D9" s="287"/>
      <c r="E9" s="288">
        <f>'Financování OK - příloha č. 2'!B16</f>
        <v>441659</v>
      </c>
      <c r="F9" s="288">
        <f>'Financování OK - příloha č. 2'!C16</f>
        <v>664412</v>
      </c>
      <c r="G9" s="288">
        <f>'Financování OK - příloha č. 2'!D16</f>
        <v>-296742</v>
      </c>
      <c r="H9" s="289">
        <f>(G9/F9)*100</f>
        <v>-44.662348061142787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0" t="s">
        <v>92</v>
      </c>
      <c r="B10" s="291"/>
      <c r="C10" s="291"/>
      <c r="D10" s="291"/>
      <c r="E10" s="292"/>
      <c r="F10" s="293"/>
      <c r="G10" s="294">
        <f>G7-G8</f>
        <v>296742</v>
      </c>
      <c r="H10" s="295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27. 6. 2022
8.3. - Rozpočet Olomouckého kraje 2022 - plnění rozpočtu k 31. 3. 2022
Příloha č.2 - Plnění rozpočtu Olomouckého kraje k 31. 3. 2022&amp;R&amp;"Arial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2" t="s">
        <v>74</v>
      </c>
      <c r="B1" s="542"/>
      <c r="C1" s="542"/>
      <c r="D1" s="542"/>
      <c r="E1" s="542"/>
      <c r="F1" s="542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543"/>
      <c r="B29" s="544"/>
      <c r="C29" s="544"/>
      <c r="D29" s="544"/>
      <c r="E29" s="544"/>
      <c r="F29" s="544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544"/>
      <c r="B30" s="544"/>
      <c r="C30" s="544"/>
      <c r="D30" s="544"/>
      <c r="E30" s="544"/>
      <c r="F30" s="544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545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545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'Rekapitulace OK - příloha č. 2'!E7</f>
        <v>5910855</v>
      </c>
      <c r="C4" s="102">
        <f>'Rekapitulace OK - příloha č. 2'!E8</f>
        <v>6352514</v>
      </c>
    </row>
    <row r="5" spans="1:3" x14ac:dyDescent="0.2">
      <c r="A5" s="102" t="s">
        <v>12</v>
      </c>
      <c r="B5" s="102">
        <f>'Rekapitulace OK - příloha č. 2'!F7</f>
        <v>9175386</v>
      </c>
      <c r="C5" s="102">
        <f>'Rekapitulace OK - příloha č. 2'!F8</f>
        <v>9839798</v>
      </c>
    </row>
    <row r="6" spans="1:3" x14ac:dyDescent="0.2">
      <c r="A6" s="102" t="s">
        <v>4</v>
      </c>
      <c r="B6" s="102">
        <f>'Rekapitulace OK - příloha č. 2'!G7</f>
        <v>4956400</v>
      </c>
      <c r="C6" s="102">
        <f>'Rekapitulace OK - příloha č. 2'!G8</f>
        <v>4659658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'Příjmy OK - příloha č. 2'!#REF!</f>
        <v>#REF!</v>
      </c>
      <c r="C33" s="102" t="e">
        <f>'Výdaje OK - příloha č. 2'!#REF!</f>
        <v>#REF!</v>
      </c>
    </row>
    <row r="34" spans="1:3" x14ac:dyDescent="0.2">
      <c r="A34" s="102" t="s">
        <v>12</v>
      </c>
      <c r="B34" s="102" t="e">
        <f>'Příjmy OK - příloha č. 2'!#REF!</f>
        <v>#REF!</v>
      </c>
      <c r="C34" s="102" t="e">
        <f>'Výdaje OK - příloha č. 2'!#REF!</f>
        <v>#REF!</v>
      </c>
    </row>
    <row r="35" spans="1:3" x14ac:dyDescent="0.2">
      <c r="A35" s="102" t="s">
        <v>4</v>
      </c>
      <c r="B35" s="102" t="e">
        <f>'Příjmy OK - příloha č. 2'!#REF!</f>
        <v>#REF!</v>
      </c>
      <c r="C35" s="102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546">
        <v>1</v>
      </c>
      <c r="B6" s="547"/>
      <c r="C6" s="547"/>
      <c r="D6" s="548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'Příjmy OK - příloha č. 2'!#REF!</f>
        <v>#REF!</v>
      </c>
      <c r="F7" s="144" t="e">
        <f>'Příjmy OK - příloha č. 2'!#REF!</f>
        <v>#REF!</v>
      </c>
      <c r="G7" s="144" t="e">
        <f>'Příjmy OK - příloha č. 2'!#REF!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'Výdaje OK - příloha č. 2'!#REF!+'Výdaje OK - příloha č. 2'!#REF!</f>
        <v>#REF!</v>
      </c>
      <c r="F9" s="146" t="e">
        <f>'Výdaje OK - příloha č. 2'!#REF!+'Výdaje OK - příloha č. 2'!#REF!</f>
        <v>#REF!</v>
      </c>
      <c r="G9" s="146" t="e">
        <f>'Výdaje OK - příloha č. 2'!#REF!+'Výdaje OK - příloha č. 2'!#REF!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546">
        <v>1</v>
      </c>
      <c r="B40" s="547"/>
      <c r="C40" s="547"/>
      <c r="D40" s="548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'Příjmy OK - příloha č. 2'!#REF!</f>
        <v>#REF!</v>
      </c>
      <c r="F41" s="154" t="e">
        <f>'Příjmy OK - příloha č. 2'!#REF!</f>
        <v>#REF!</v>
      </c>
      <c r="G41" s="154" t="e">
        <f>'Příjmy OK - příloha č. 2'!#REF!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'Výdaje OK - příloha č. 2'!#REF!</f>
        <v>#REF!</v>
      </c>
      <c r="F42" s="155" t="e">
        <f>'Výdaje OK - příloha č. 2'!#REF!</f>
        <v>#REF!</v>
      </c>
      <c r="G42" s="155" t="e">
        <f>'Výdaje OK - příloha č. 2'!#REF!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2022-06-07T06:42:36Z</cp:lastPrinted>
  <dcterms:created xsi:type="dcterms:W3CDTF">2010-11-26T09:05:32Z</dcterms:created>
  <dcterms:modified xsi:type="dcterms:W3CDTF">2022-06-07T06:42:39Z</dcterms:modified>
</cp:coreProperties>
</file>