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1 mld. Kč\9. splátka\ZOK\"/>
    </mc:Choice>
  </mc:AlternateContent>
  <bookViews>
    <workbookView xWindow="0" yWindow="0" windowWidth="28800" windowHeight="12300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úvěru'!$B$1:$W$42</definedName>
  </definedNames>
  <calcPr calcId="162913"/>
</workbook>
</file>

<file path=xl/calcChain.xml><?xml version="1.0" encoding="utf-8"?>
<calcChain xmlns="http://schemas.openxmlformats.org/spreadsheetml/2006/main">
  <c r="W38" i="6" l="1"/>
  <c r="W22" i="6" l="1"/>
  <c r="W21" i="6"/>
  <c r="W9" i="6"/>
  <c r="W28" i="6" l="1"/>
  <c r="U33" i="6" l="1"/>
  <c r="W7" i="6"/>
  <c r="W6" i="6"/>
  <c r="W5" i="6"/>
  <c r="W4" i="6"/>
  <c r="V41" i="6"/>
  <c r="W33" i="6" l="1"/>
  <c r="W40" i="6" l="1"/>
  <c r="W39" i="6"/>
  <c r="W37" i="6"/>
  <c r="W36" i="6"/>
  <c r="W31" i="6"/>
  <c r="W30" i="6"/>
  <c r="W29" i="6"/>
  <c r="W27" i="6"/>
  <c r="W25" i="6"/>
  <c r="W23" i="6"/>
  <c r="W20" i="6"/>
  <c r="W11" i="6"/>
  <c r="Z4" i="6"/>
  <c r="AB28" i="6"/>
  <c r="Z17" i="6"/>
  <c r="AB38" i="6"/>
  <c r="AB35" i="6"/>
  <c r="AB32" i="6"/>
  <c r="Z23" i="6"/>
  <c r="Z16" i="6"/>
  <c r="Z15" i="6"/>
  <c r="Z13" i="6"/>
  <c r="Z6" i="6"/>
  <c r="Y41" i="6"/>
  <c r="Y47" i="6" s="1"/>
  <c r="AA28" i="6" l="1"/>
  <c r="M44" i="6"/>
  <c r="N19" i="6"/>
  <c r="W19" i="6" s="1"/>
  <c r="N18" i="6"/>
  <c r="W18" i="6" s="1"/>
  <c r="O17" i="6"/>
  <c r="O15" i="6"/>
  <c r="O13" i="6"/>
  <c r="N12" i="6"/>
  <c r="W12" i="6" s="1"/>
  <c r="N8" i="6"/>
  <c r="M8" i="6"/>
  <c r="W8" i="6" s="1"/>
  <c r="P7" i="6"/>
  <c r="O7" i="6"/>
  <c r="N6" i="6"/>
  <c r="P4" i="6"/>
  <c r="M41" i="6" l="1"/>
  <c r="Q42" i="6"/>
  <c r="N41" i="6"/>
  <c r="O41" i="6"/>
  <c r="P41" i="6"/>
  <c r="Q41" i="6"/>
  <c r="R41" i="6"/>
  <c r="S41" i="6"/>
  <c r="T41" i="6"/>
  <c r="G17" i="6"/>
  <c r="W17" i="6" s="1"/>
  <c r="G16" i="6"/>
  <c r="W16" i="6" s="1"/>
  <c r="G15" i="6"/>
  <c r="W15" i="6" s="1"/>
  <c r="G7" i="6"/>
  <c r="G6" i="6"/>
  <c r="M42" i="6"/>
  <c r="I42" i="6"/>
  <c r="O42" i="6" l="1"/>
  <c r="I41" i="6" l="1"/>
  <c r="J41" i="6"/>
  <c r="L19" i="6"/>
  <c r="L18" i="6"/>
  <c r="L12" i="6"/>
  <c r="L9" i="6" l="1"/>
  <c r="K9" i="6"/>
  <c r="L8" i="6"/>
  <c r="K8" i="6"/>
  <c r="L7" i="6"/>
  <c r="K7" i="6"/>
  <c r="L6" i="6"/>
  <c r="K6" i="6"/>
  <c r="L4" i="6"/>
  <c r="K4" i="6"/>
  <c r="L41" i="6" l="1"/>
  <c r="K42" i="6"/>
  <c r="K41" i="6"/>
  <c r="G38" i="6"/>
  <c r="G28" i="6" l="1"/>
  <c r="G13" i="6"/>
  <c r="W13" i="6" s="1"/>
  <c r="G14" i="6"/>
  <c r="W14" i="6" s="1"/>
  <c r="H4" i="6"/>
  <c r="H41" i="6" s="1"/>
  <c r="G4" i="6"/>
  <c r="G24" i="6"/>
  <c r="W24" i="6" s="1"/>
  <c r="G10" i="6" l="1"/>
  <c r="G26" i="6"/>
  <c r="W26" i="6" s="1"/>
  <c r="G32" i="6"/>
  <c r="W32" i="6" s="1"/>
  <c r="G35" i="6"/>
  <c r="W35" i="6" s="1"/>
  <c r="G34" i="6"/>
  <c r="W34" i="6" s="1"/>
  <c r="G42" i="6" l="1"/>
  <c r="I44" i="6" s="1"/>
  <c r="G41" i="6"/>
  <c r="U6" i="6"/>
  <c r="U7" i="6"/>
  <c r="U10" i="6" l="1"/>
  <c r="W10" i="6" s="1"/>
  <c r="U41" i="6" l="1"/>
  <c r="E38" i="6"/>
  <c r="W41" i="6" s="1"/>
  <c r="W44" i="6" s="1"/>
  <c r="E35" i="6"/>
  <c r="E34" i="6"/>
  <c r="E33" i="6"/>
  <c r="E32" i="6"/>
  <c r="E28" i="6"/>
  <c r="E26" i="6"/>
  <c r="E24" i="6"/>
  <c r="E23" i="6"/>
  <c r="E17" i="6"/>
  <c r="E16" i="6"/>
  <c r="E15" i="6"/>
  <c r="E14" i="6"/>
  <c r="E13" i="6"/>
  <c r="E10" i="6"/>
  <c r="E7" i="6"/>
  <c r="E6" i="6"/>
  <c r="F4" i="6"/>
  <c r="F41" i="6" s="1"/>
  <c r="E4" i="6"/>
  <c r="E41" i="6" l="1"/>
  <c r="E42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I44" authorId="0" shapeId="0">
      <text>
        <r>
          <rPr>
            <b/>
            <sz val="9"/>
            <color indexed="81"/>
            <rFont val="Tahoma"/>
            <family val="2"/>
            <charset val="238"/>
          </rPr>
          <t>ORJ 7 = 8115 - 11 413 754,65 Kč (zapojeno)
Ještě zapojit 3 226 369,44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44" authorId="0" shapeId="0">
      <text>
        <r>
          <rPr>
            <sz val="10"/>
            <color indexed="81"/>
            <rFont val="Tahoma"/>
            <family val="2"/>
            <charset val="238"/>
          </rPr>
          <t xml:space="preserve">ORJ 7 = 8115 - 11 413 754,65 Kč 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ORJ 50 = 8115 - 32 580,46 Kč
ORJ 52 = 8115 - 738 116,19 Kč</t>
        </r>
      </text>
    </comment>
  </commentList>
</comments>
</file>

<file path=xl/sharedStrings.xml><?xml version="1.0" encoding="utf-8"?>
<sst xmlns="http://schemas.openxmlformats.org/spreadsheetml/2006/main" count="116" uniqueCount="85">
  <si>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</si>
  <si>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</si>
  <si>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</si>
  <si>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</si>
  <si>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</si>
  <si>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</si>
  <si>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</si>
  <si>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</si>
  <si>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</si>
  <si>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</si>
  <si>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</si>
  <si>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</si>
  <si>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</si>
  <si>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</si>
  <si>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</si>
  <si>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</si>
  <si>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</si>
  <si>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</si>
  <si>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</si>
  <si>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</si>
  <si>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</si>
  <si>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</si>
  <si>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</si>
  <si>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</si>
  <si>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</si>
  <si>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</si>
  <si>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</si>
  <si>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</si>
  <si>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Schválený rozpočet 2021</t>
  </si>
  <si>
    <t>Předfinancování
 (UZ 818 a 819)</t>
  </si>
  <si>
    <t>Kofinancování
 (UZ 820 a 821)</t>
  </si>
  <si>
    <t>II/ 366 Prostějov - přeložka silnice</t>
  </si>
  <si>
    <t>II/449 MÚK Unčovice - Litovel, úsek B</t>
  </si>
  <si>
    <t xml:space="preserve">II/150 Prostějov - Přerov </t>
  </si>
  <si>
    <t>Šternberk – průtah</t>
  </si>
  <si>
    <t>PPP a SPC Olomouckého kraje - zvýšení kvality služeb a kapacity centra - PPP Jeseník</t>
  </si>
  <si>
    <t>PPP a SPC Olomouckého kraje - zvýšení kvality služeb a kapacity centra - SPC Mohelnice</t>
  </si>
  <si>
    <t>PPP a SPC Olomouckého kraje - zvýšení kvality služeb a kapacity centra - SPC Prostějov</t>
  </si>
  <si>
    <t>PPP a SPC Olomouckého kraje - zvýšení kvality služeb a kapacity centra - PPP Přerov</t>
  </si>
  <si>
    <t>PPP a SPC Olomouckého kraje - zvýšení kvality služeb a kapacity centra - PPP Šumperk</t>
  </si>
  <si>
    <t>Vincentinum Šternberk, příspěvková organizace – rekonstrukce budovy ve Vikýřovicích</t>
  </si>
  <si>
    <t xml:space="preserve">Transformace příspěvkové organizace Nové Zámky – poskytovatel sociálních služeb - IV.etapa - novostavba RD Zábřeh, ul. Havlíčkova </t>
  </si>
  <si>
    <t xml:space="preserve">Klíč – centrum sociálních služeb - Výstavba objektu pro osoby s poruchou autistického spektra </t>
  </si>
  <si>
    <t>Transformace příspěvkové organizace Nové Zámky – poskytovatel sociálních služeb - III.etapa - Litovel, Rybníček 45</t>
  </si>
  <si>
    <t xml:space="preserve">Muzeum a galerie v Prostějově - Přístavba depozitáře </t>
  </si>
  <si>
    <t>Muzeum Komenského v Přerově – rekonstrukce budovy ORNIS</t>
  </si>
  <si>
    <t>SMN a.s. - o.z. Nemocnice Šternberk - Interní pavilon</t>
  </si>
  <si>
    <t>Pořízení strojního vybavení a zajištění bezbariérovosti na OU a PrŠ Lipová-lázně</t>
  </si>
  <si>
    <t>Digitální technická mapa</t>
  </si>
  <si>
    <t>Přehled revolvingového úvěru na financování oprav, investic a projektů</t>
  </si>
  <si>
    <t>Skutečnost 2021</t>
  </si>
  <si>
    <t>Upravený rozpočet 2021</t>
  </si>
  <si>
    <t>Schválený rozpočet 2022</t>
  </si>
  <si>
    <t>Skutečnost 2022</t>
  </si>
  <si>
    <t>Upravený rozpočet 2022</t>
  </si>
  <si>
    <t>Přerov - Doloplazy - kř. II/437</t>
  </si>
  <si>
    <t xml:space="preserve">II/570 Slatinice - Olomouc </t>
  </si>
  <si>
    <t>II/449 MÚK Unčovice - Litovel, úseky A, C, okružní křižovatka</t>
  </si>
  <si>
    <t>Domov seniorů POHODA Chválkovice - Vybudování nového evakuačního výtahu v pavilonu B a v DS</t>
  </si>
  <si>
    <t>REÚO - Střední průmyslová škola elektrotechnická a Obchodní akademie Mohelnice - budovy internátu a jídelna - A) ZATEPLENÍ</t>
  </si>
  <si>
    <t>DDM Olomouc - REÚO budovy Jánského 1</t>
  </si>
  <si>
    <t>REÚO - Střední průmyslová škola elektrotechnická a Obchodní akademie Mohelnice - budovy internátu a jídelna - B) VZDUCHOTECHNIKA</t>
  </si>
  <si>
    <t>DDM Olomouc - REÚO budovy Jánského 1 - b) vzduchotechnika</t>
  </si>
  <si>
    <t>Domov Na zámečku Rokytnice - Půdní vestavba</t>
  </si>
  <si>
    <t>Transformace příspěvkové organizace Nové Zámky - poskytovatel sociálních služeb - IV.etapa - novostavba RD Zábřeh, Malá Strana</t>
  </si>
  <si>
    <t>Transformace příspěvkové organizace Nové Zámky - poskytovatel sociálních služeb - V.etapa -  novostavba RD Medlov - Králová</t>
  </si>
  <si>
    <t>ZZS OK - Výstavba nových výjezdových základen - Zábřeh</t>
  </si>
  <si>
    <t>Hospodaření se srážkovými vodami v intravilánu příspěvkových organizací Olomouckého kraje IV.</t>
  </si>
  <si>
    <t>Hospodaření se srážkovými vodami v intravilánu příspěvkových organizací Olomouckého kraje V.</t>
  </si>
  <si>
    <t>ZZS OK - Obnova vozového parku</t>
  </si>
  <si>
    <t>Pořízení vozidel pro poskytovatele sociálních služeb v Olomouckém kraji</t>
  </si>
  <si>
    <t>Splátka revolvingového úvěru - 
předfinancování 
(UZ 818 a 819)</t>
  </si>
  <si>
    <t>Předpoklad skutečnosti 2022 dle čtvrtletí</t>
  </si>
  <si>
    <t>I.</t>
  </si>
  <si>
    <t>II.</t>
  </si>
  <si>
    <t>III.</t>
  </si>
  <si>
    <t>IV.</t>
  </si>
  <si>
    <t>Nevyčerpáno v roce 2021 (Upravený rozpočet 2021 - skutečnost 2021)</t>
  </si>
  <si>
    <t>Zapojeno 8115 (ORJ 7)</t>
  </si>
  <si>
    <t>Zapojeno 8115 (ORJ 50)</t>
  </si>
  <si>
    <t>Zapojeno 8115 (ORJ 52)</t>
  </si>
  <si>
    <t>Zůstává k zapojení</t>
  </si>
  <si>
    <t>Domov Alfreda Skeneho Pavlovice u Přerova, příspěvková organizace - Stavební úpravy pokojů a sociálních zařízení - budova Zámku</t>
  </si>
  <si>
    <t>Zůstatek revolvingového úvěru ke splacení k 31.12.2021</t>
  </si>
  <si>
    <t>Celkový zůstatek revolvingového úvěru ke splacení od počátku čerpání v návaznosti na upravený rozpočet 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</si>
</sst>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dashed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43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 wrapText="1"/>
    </xf>
    <xf numFmtId="4" fontId="17" fillId="0" borderId="0" xfId="0" applyNumberFormat="1" applyFont="1"/>
    <xf numFmtId="0" fontId="5" fillId="0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 wrapText="1"/>
    </xf>
    <xf numFmtId="4" fontId="5" fillId="0" borderId="30" xfId="0" applyNumberFormat="1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4" fontId="5" fillId="0" borderId="35" xfId="0" applyNumberFormat="1" applyFont="1" applyFill="1" applyBorder="1" applyAlignment="1">
      <alignment horizontal="right" vertical="center"/>
    </xf>
    <xf numFmtId="4" fontId="0" fillId="0" borderId="30" xfId="0" applyNumberFormat="1" applyBorder="1" applyAlignment="1">
      <alignment horizontal="center" vertical="center"/>
    </xf>
    <xf numFmtId="4" fontId="5" fillId="0" borderId="32" xfId="0" applyNumberFormat="1" applyFont="1" applyFill="1" applyBorder="1" applyAlignment="1">
      <alignment vertical="center"/>
    </xf>
    <xf numFmtId="4" fontId="0" fillId="0" borderId="0" xfId="0" applyNumberFormat="1"/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 wrapText="1"/>
    </xf>
    <xf numFmtId="4" fontId="5" fillId="0" borderId="57" xfId="0" applyNumberFormat="1" applyFont="1" applyFill="1" applyBorder="1" applyAlignment="1">
      <alignment horizontal="right" vertical="center"/>
    </xf>
    <xf numFmtId="0" fontId="16" fillId="5" borderId="41" xfId="0" applyFont="1" applyFill="1" applyBorder="1" applyAlignment="1">
      <alignment horizontal="center" vertical="center" wrapText="1"/>
    </xf>
    <xf numFmtId="4" fontId="0" fillId="0" borderId="30" xfId="0" applyNumberFormat="1" applyFill="1" applyBorder="1" applyAlignment="1">
      <alignment horizontal="center" vertical="center"/>
    </xf>
    <xf numFmtId="4" fontId="5" fillId="0" borderId="68" xfId="0" applyNumberFormat="1" applyFont="1" applyFill="1" applyBorder="1" applyAlignment="1">
      <alignment horizontal="right" vertical="center"/>
    </xf>
    <xf numFmtId="4" fontId="5" fillId="0" borderId="69" xfId="0" applyNumberFormat="1" applyFont="1" applyFill="1" applyBorder="1" applyAlignment="1">
      <alignment horizontal="right" vertical="center"/>
    </xf>
    <xf numFmtId="4" fontId="5" fillId="0" borderId="70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9" fillId="0" borderId="44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4" fontId="2" fillId="0" borderId="47" xfId="0" applyNumberFormat="1" applyFont="1" applyFill="1" applyBorder="1" applyAlignment="1">
      <alignment vertical="center"/>
    </xf>
    <xf numFmtId="4" fontId="2" fillId="0" borderId="48" xfId="0" applyNumberFormat="1" applyFont="1" applyFill="1" applyBorder="1" applyAlignment="1">
      <alignment vertical="center"/>
    </xf>
    <xf numFmtId="4" fontId="2" fillId="0" borderId="49" xfId="0" applyNumberFormat="1" applyFont="1" applyFill="1" applyBorder="1" applyAlignment="1">
      <alignment vertical="center"/>
    </xf>
    <xf numFmtId="4" fontId="2" fillId="0" borderId="50" xfId="0" applyNumberFormat="1" applyFont="1" applyFill="1" applyBorder="1" applyAlignment="1">
      <alignment vertical="center"/>
    </xf>
    <xf numFmtId="4" fontId="2" fillId="0" borderId="48" xfId="0" applyNumberFormat="1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left" vertical="center"/>
    </xf>
    <xf numFmtId="0" fontId="20" fillId="0" borderId="52" xfId="0" applyFont="1" applyFill="1" applyBorder="1" applyAlignment="1">
      <alignment horizontal="left" vertical="center"/>
    </xf>
    <xf numFmtId="0" fontId="20" fillId="0" borderId="53" xfId="0" applyFont="1" applyFill="1" applyBorder="1" applyAlignment="1">
      <alignment horizontal="left" vertical="center"/>
    </xf>
    <xf numFmtId="0" fontId="20" fillId="0" borderId="54" xfId="0" applyFont="1" applyFill="1" applyBorder="1" applyAlignment="1">
      <alignment horizontal="left" vertical="center"/>
    </xf>
    <xf numFmtId="0" fontId="20" fillId="0" borderId="55" xfId="0" applyFont="1" applyFill="1" applyBorder="1" applyAlignment="1">
      <alignment horizontal="left" vertical="center"/>
    </xf>
    <xf numFmtId="0" fontId="20" fillId="0" borderId="56" xfId="0" applyFont="1" applyFill="1" applyBorder="1" applyAlignment="1">
      <alignment horizontal="left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4" fontId="2" fillId="0" borderId="63" xfId="0" applyNumberFormat="1" applyFont="1" applyFill="1" applyBorder="1" applyAlignment="1">
      <alignment horizontal="center" vertical="center"/>
    </xf>
    <xf numFmtId="4" fontId="2" fillId="0" borderId="55" xfId="0" applyNumberFormat="1" applyFont="1" applyFill="1" applyBorder="1" applyAlignment="1">
      <alignment horizontal="center" vertical="center"/>
    </xf>
    <xf numFmtId="4" fontId="2" fillId="0" borderId="56" xfId="0" applyNumberFormat="1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25" fillId="0" borderId="55" xfId="0" applyFont="1" applyBorder="1" applyAlignment="1">
      <alignment horizontal="left"/>
    </xf>
    <xf numFmtId="0" fontId="4" fillId="3" borderId="4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62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4" fontId="5" fillId="0" borderId="67" xfId="0" applyNumberFormat="1" applyFont="1" applyFill="1" applyBorder="1" applyAlignment="1">
      <alignment horizontal="right" vertical="center"/>
    </xf>
    <xf numFmtId="4" fontId="5" fillId="0" borderId="65" xfId="0" applyNumberFormat="1" applyFont="1" applyFill="1" applyBorder="1" applyAlignment="1">
      <alignment horizontal="right" vertical="center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47"/>
  <sheetViews>
    <sheetView tabSelected="1" view="pageBreakPreview" zoomScale="80" zoomScaleNormal="90" zoomScaleSheetLayoutView="80" workbookViewId="0">
      <pane ySplit="3" topLeftCell="A4" activePane="bottomLeft" state="frozen"/>
      <selection pane="bottomLeft" activeCell="W38" sqref="W38"/>
    </sheetView>
  </sheetViews>
  <sheetFormatPr defaultRowHeight="15" x14ac:dyDescent="0.25"/>
  <cols>
    <col min="1" max="1" width="0.42578125" customWidth="1"/>
    <col min="2" max="2" width="4.28515625" customWidth="1"/>
    <col min="3" max="3" width="8.7109375" customWidth="1"/>
    <col min="4" max="4" width="84.7109375" customWidth="1"/>
    <col min="5" max="5" width="16.5703125" hidden="1" customWidth="1"/>
    <col min="6" max="10" width="15.7109375" hidden="1" customWidth="1"/>
    <col min="11" max="14" width="15.7109375" customWidth="1"/>
    <col min="15" max="15" width="15.7109375" hidden="1" customWidth="1"/>
    <col min="16" max="16" width="14.85546875" hidden="1" customWidth="1"/>
    <col min="17" max="20" width="15.7109375" hidden="1" customWidth="1"/>
    <col min="21" max="21" width="21.85546875" customWidth="1"/>
    <col min="22" max="22" width="21.85546875" hidden="1" customWidth="1"/>
    <col min="23" max="23" width="28.28515625" customWidth="1"/>
    <col min="24" max="24" width="12.42578125" bestFit="1" customWidth="1"/>
    <col min="25" max="25" width="27.28515625" hidden="1" customWidth="1"/>
    <col min="26" max="26" width="28" hidden="1" customWidth="1"/>
    <col min="27" max="27" width="16.5703125" hidden="1" customWidth="1"/>
    <col min="28" max="28" width="12.5703125" hidden="1" customWidth="1"/>
  </cols>
  <sheetData>
    <row r="1" spans="2:26" ht="21.75" thickBot="1" x14ac:dyDescent="0.4">
      <c r="B1" s="113" t="s">
        <v>49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W1" s="1" t="s">
        <v>27</v>
      </c>
    </row>
    <row r="2" spans="2:26" ht="42.75" customHeight="1" thickTop="1" x14ac:dyDescent="0.25">
      <c r="B2" s="109" t="s">
        <v>5</v>
      </c>
      <c r="C2" s="105" t="s">
        <v>0</v>
      </c>
      <c r="D2" s="107" t="s">
        <v>1</v>
      </c>
      <c r="E2" s="111" t="s">
        <v>28</v>
      </c>
      <c r="F2" s="112"/>
      <c r="G2" s="111" t="s">
        <v>51</v>
      </c>
      <c r="H2" s="112"/>
      <c r="I2" s="111" t="s">
        <v>50</v>
      </c>
      <c r="J2" s="112"/>
      <c r="K2" s="111" t="s">
        <v>52</v>
      </c>
      <c r="L2" s="112"/>
      <c r="M2" s="111" t="s">
        <v>54</v>
      </c>
      <c r="N2" s="112"/>
      <c r="O2" s="111" t="s">
        <v>53</v>
      </c>
      <c r="P2" s="112"/>
      <c r="Q2" s="116" t="s">
        <v>72</v>
      </c>
      <c r="R2" s="117"/>
      <c r="S2" s="117"/>
      <c r="T2" s="118"/>
      <c r="U2" s="114" t="s">
        <v>71</v>
      </c>
      <c r="V2" s="114" t="s">
        <v>83</v>
      </c>
      <c r="W2" s="123" t="s">
        <v>84</v>
      </c>
      <c r="Y2" s="119" t="s">
        <v>77</v>
      </c>
    </row>
    <row r="3" spans="2:26" ht="47.25" customHeight="1" thickBot="1" x14ac:dyDescent="0.3">
      <c r="B3" s="110"/>
      <c r="C3" s="106"/>
      <c r="D3" s="108"/>
      <c r="E3" s="54" t="s">
        <v>29</v>
      </c>
      <c r="F3" s="54" t="s">
        <v>30</v>
      </c>
      <c r="G3" s="54" t="s">
        <v>29</v>
      </c>
      <c r="H3" s="54" t="s">
        <v>30</v>
      </c>
      <c r="I3" s="54" t="s">
        <v>29</v>
      </c>
      <c r="J3" s="54" t="s">
        <v>30</v>
      </c>
      <c r="K3" s="54" t="s">
        <v>29</v>
      </c>
      <c r="L3" s="54" t="s">
        <v>30</v>
      </c>
      <c r="M3" s="54" t="s">
        <v>29</v>
      </c>
      <c r="N3" s="54" t="s">
        <v>30</v>
      </c>
      <c r="O3" s="54" t="s">
        <v>29</v>
      </c>
      <c r="P3" s="54" t="s">
        <v>30</v>
      </c>
      <c r="Q3" s="78" t="s">
        <v>73</v>
      </c>
      <c r="R3" s="78" t="s">
        <v>74</v>
      </c>
      <c r="S3" s="78" t="s">
        <v>75</v>
      </c>
      <c r="T3" s="78" t="s">
        <v>76</v>
      </c>
      <c r="U3" s="115"/>
      <c r="V3" s="115"/>
      <c r="W3" s="124"/>
      <c r="Y3" s="120"/>
    </row>
    <row r="4" spans="2:26" ht="21.95" customHeight="1" thickTop="1" x14ac:dyDescent="0.25">
      <c r="B4" s="85">
        <v>50</v>
      </c>
      <c r="C4" s="56">
        <v>100040</v>
      </c>
      <c r="D4" s="57" t="s">
        <v>31</v>
      </c>
      <c r="E4" s="58">
        <f>110500000+6500000</f>
        <v>117000000</v>
      </c>
      <c r="F4" s="58">
        <f>13000000+38000000</f>
        <v>51000000</v>
      </c>
      <c r="G4" s="58">
        <f>110500000+8000000-3919866.01-41137722.4</f>
        <v>73442411.590000004</v>
      </c>
      <c r="H4" s="58">
        <f>13000000+38000000-7568584.99</f>
        <v>43431415.009999998</v>
      </c>
      <c r="I4" s="58">
        <v>73442411.590000004</v>
      </c>
      <c r="J4" s="67">
        <v>36906541.18</v>
      </c>
      <c r="K4" s="58">
        <f>31850000+1874000</f>
        <v>33724000</v>
      </c>
      <c r="L4" s="67">
        <f>3747000+5000000</f>
        <v>8747000</v>
      </c>
      <c r="M4" s="58">
        <v>25038427.510000002</v>
      </c>
      <c r="N4" s="58">
        <v>7603811.3200000003</v>
      </c>
      <c r="O4" s="58">
        <v>0</v>
      </c>
      <c r="P4" s="67">
        <f>1823199</f>
        <v>1823199</v>
      </c>
      <c r="Q4" s="67"/>
      <c r="R4" s="67"/>
      <c r="S4" s="67"/>
      <c r="T4" s="67"/>
      <c r="U4" s="58">
        <v>73429064.090000004</v>
      </c>
      <c r="V4" s="58">
        <v>43444762.509999998</v>
      </c>
      <c r="W4" s="65">
        <f>G4+H4+M4+N4-U4-Y4</f>
        <v>69562127.509999976</v>
      </c>
      <c r="X4" s="74"/>
      <c r="Y4" s="80">
        <v>6524873.8300000001</v>
      </c>
      <c r="Z4" s="74">
        <f>Y4-Y45</f>
        <v>6492293.3700000001</v>
      </c>
    </row>
    <row r="5" spans="2:26" ht="21.95" customHeight="1" x14ac:dyDescent="0.25">
      <c r="B5" s="86"/>
      <c r="C5" s="75">
        <v>100908</v>
      </c>
      <c r="D5" s="76" t="s">
        <v>55</v>
      </c>
      <c r="E5" s="70">
        <v>0</v>
      </c>
      <c r="F5" s="70">
        <v>0</v>
      </c>
      <c r="G5" s="70">
        <v>0</v>
      </c>
      <c r="H5" s="70">
        <v>0</v>
      </c>
      <c r="I5" s="70">
        <v>0</v>
      </c>
      <c r="J5" s="77">
        <v>0</v>
      </c>
      <c r="K5" s="70">
        <v>0</v>
      </c>
      <c r="L5" s="77">
        <v>200000</v>
      </c>
      <c r="M5" s="70">
        <v>0</v>
      </c>
      <c r="N5" s="70">
        <v>200000</v>
      </c>
      <c r="O5" s="70">
        <v>0</v>
      </c>
      <c r="P5" s="77">
        <v>0</v>
      </c>
      <c r="Q5" s="77"/>
      <c r="R5" s="77"/>
      <c r="S5" s="77"/>
      <c r="T5" s="77"/>
      <c r="U5" s="70">
        <v>0</v>
      </c>
      <c r="V5" s="61"/>
      <c r="W5" s="66">
        <f>M5+N5-U5</f>
        <v>200000</v>
      </c>
      <c r="Y5" s="81"/>
    </row>
    <row r="6" spans="2:26" ht="21.95" customHeight="1" x14ac:dyDescent="0.25">
      <c r="B6" s="86"/>
      <c r="C6" s="59">
        <v>100914</v>
      </c>
      <c r="D6" s="60" t="s">
        <v>32</v>
      </c>
      <c r="E6" s="61">
        <f>35572000+2093000</f>
        <v>37665000</v>
      </c>
      <c r="F6" s="61">
        <v>12070000</v>
      </c>
      <c r="G6" s="61">
        <f>35572000+2093000-12978054-763944-336806.91</f>
        <v>23586195.09</v>
      </c>
      <c r="H6" s="61">
        <v>12070000</v>
      </c>
      <c r="I6" s="61">
        <v>23538311.649999999</v>
      </c>
      <c r="J6" s="68">
        <v>12070000</v>
      </c>
      <c r="K6" s="61">
        <f>11924000+772000</f>
        <v>12696000</v>
      </c>
      <c r="L6" s="68">
        <f>1544000+14058000</f>
        <v>15602000</v>
      </c>
      <c r="M6" s="61">
        <v>8379335.29</v>
      </c>
      <c r="N6" s="68">
        <f>1544000+14058000</f>
        <v>15602000</v>
      </c>
      <c r="O6" s="61">
        <v>0</v>
      </c>
      <c r="P6" s="68">
        <v>0</v>
      </c>
      <c r="Q6" s="68"/>
      <c r="R6" s="68"/>
      <c r="S6" s="68"/>
      <c r="T6" s="68"/>
      <c r="U6" s="73">
        <f>482034.34+13577339.54</f>
        <v>14059373.879999999</v>
      </c>
      <c r="V6" s="61">
        <v>21596821.210000001</v>
      </c>
      <c r="W6" s="66">
        <f>G6+H6+M6+N6-U6-Y6</f>
        <v>45530273.060000002</v>
      </c>
      <c r="Y6" s="81">
        <v>47883.44</v>
      </c>
      <c r="Z6" s="74">
        <f>Y6</f>
        <v>47883.44</v>
      </c>
    </row>
    <row r="7" spans="2:26" ht="21.95" customHeight="1" x14ac:dyDescent="0.25">
      <c r="B7" s="86"/>
      <c r="C7" s="59">
        <v>100917</v>
      </c>
      <c r="D7" s="60" t="s">
        <v>33</v>
      </c>
      <c r="E7" s="70">
        <f>45677000+2687000</f>
        <v>48364000</v>
      </c>
      <c r="F7" s="70">
        <v>0</v>
      </c>
      <c r="G7" s="70">
        <f>48945014.74-1116396.94-19557762.99+318095.42+18711.49</f>
        <v>28607661.720000006</v>
      </c>
      <c r="H7" s="70">
        <v>0</v>
      </c>
      <c r="I7" s="61">
        <v>28607661.719999999</v>
      </c>
      <c r="J7" s="68">
        <v>0</v>
      </c>
      <c r="K7" s="61">
        <f>19586000+1152000</f>
        <v>20738000</v>
      </c>
      <c r="L7" s="68">
        <f>2304000+15000000</f>
        <v>17304000</v>
      </c>
      <c r="M7" s="61">
        <v>25054664.710000001</v>
      </c>
      <c r="N7" s="68">
        <v>20734056.670000002</v>
      </c>
      <c r="O7" s="61">
        <f>2222045.11+130708.53</f>
        <v>2352753.6399999997</v>
      </c>
      <c r="P7" s="68">
        <f>261417.07+42634.36</f>
        <v>304051.43</v>
      </c>
      <c r="Q7" s="68"/>
      <c r="R7" s="68"/>
      <c r="S7" s="68"/>
      <c r="T7" s="68"/>
      <c r="U7" s="73">
        <f>1607900.13+15562369.42</f>
        <v>17170269.550000001</v>
      </c>
      <c r="V7" s="61">
        <v>11437392.17</v>
      </c>
      <c r="W7" s="66">
        <f>G7+H7+M7+N7-U7</f>
        <v>57226113.550000012</v>
      </c>
      <c r="Y7" s="81"/>
    </row>
    <row r="8" spans="2:26" ht="21.95" customHeight="1" x14ac:dyDescent="0.25">
      <c r="B8" s="86"/>
      <c r="C8" s="59">
        <v>100918</v>
      </c>
      <c r="D8" s="60" t="s">
        <v>56</v>
      </c>
      <c r="E8" s="70">
        <v>0</v>
      </c>
      <c r="F8" s="70">
        <v>0</v>
      </c>
      <c r="G8" s="70">
        <v>0</v>
      </c>
      <c r="H8" s="70">
        <v>0</v>
      </c>
      <c r="I8" s="61">
        <v>0</v>
      </c>
      <c r="J8" s="68">
        <v>0</v>
      </c>
      <c r="K8" s="61">
        <f>24391000+2023000</f>
        <v>26414000</v>
      </c>
      <c r="L8" s="68">
        <f>4046000+12000000</f>
        <v>16046000</v>
      </c>
      <c r="M8" s="61">
        <f>24391000+2023000</f>
        <v>26414000</v>
      </c>
      <c r="N8" s="68">
        <f>4046000+12000000</f>
        <v>16046000</v>
      </c>
      <c r="O8" s="61">
        <v>0</v>
      </c>
      <c r="P8" s="68">
        <v>0</v>
      </c>
      <c r="Q8" s="68"/>
      <c r="R8" s="68"/>
      <c r="S8" s="68"/>
      <c r="T8" s="68"/>
      <c r="U8" s="73">
        <v>0</v>
      </c>
      <c r="V8" s="61"/>
      <c r="W8" s="66">
        <f>M8+N8-U8</f>
        <v>42460000</v>
      </c>
      <c r="Y8" s="81"/>
    </row>
    <row r="9" spans="2:26" ht="21.95" customHeight="1" x14ac:dyDescent="0.25">
      <c r="B9" s="86"/>
      <c r="C9" s="59">
        <v>101449</v>
      </c>
      <c r="D9" s="60" t="s">
        <v>57</v>
      </c>
      <c r="E9" s="70">
        <v>0</v>
      </c>
      <c r="F9" s="70">
        <v>0</v>
      </c>
      <c r="G9" s="70">
        <v>0</v>
      </c>
      <c r="H9" s="70">
        <v>0</v>
      </c>
      <c r="I9" s="61">
        <v>0</v>
      </c>
      <c r="J9" s="68">
        <v>0</v>
      </c>
      <c r="K9" s="61">
        <f>54765000+3770000</f>
        <v>58535000</v>
      </c>
      <c r="L9" s="68">
        <f>6502000+25994000</f>
        <v>32496000</v>
      </c>
      <c r="M9" s="61">
        <v>57373794.880000003</v>
      </c>
      <c r="N9" s="68">
        <v>30241712.469999999</v>
      </c>
      <c r="O9" s="61">
        <v>0</v>
      </c>
      <c r="P9" s="68">
        <v>0</v>
      </c>
      <c r="Q9" s="68"/>
      <c r="R9" s="68"/>
      <c r="S9" s="68"/>
      <c r="T9" s="68"/>
      <c r="U9" s="73">
        <v>0</v>
      </c>
      <c r="V9" s="61"/>
      <c r="W9" s="66">
        <f>M9+N9-U9</f>
        <v>87615507.349999994</v>
      </c>
      <c r="Y9" s="81"/>
    </row>
    <row r="10" spans="2:26" ht="24.95" hidden="1" customHeight="1" x14ac:dyDescent="0.25">
      <c r="B10" s="87"/>
      <c r="C10" s="59">
        <v>100956</v>
      </c>
      <c r="D10" s="60" t="s">
        <v>34</v>
      </c>
      <c r="E10" s="70">
        <f>7650000+450000</f>
        <v>8100000</v>
      </c>
      <c r="F10" s="70">
        <v>0</v>
      </c>
      <c r="G10" s="70">
        <f>7741985.26</f>
        <v>7741985.2599999998</v>
      </c>
      <c r="H10" s="70">
        <v>0</v>
      </c>
      <c r="I10" s="61">
        <v>7741985.2599999998</v>
      </c>
      <c r="J10" s="68">
        <v>0</v>
      </c>
      <c r="K10" s="61">
        <v>0</v>
      </c>
      <c r="L10" s="68">
        <v>0</v>
      </c>
      <c r="M10" s="70">
        <v>0</v>
      </c>
      <c r="N10" s="70">
        <v>0</v>
      </c>
      <c r="O10" s="61">
        <v>0</v>
      </c>
      <c r="P10" s="68">
        <v>0</v>
      </c>
      <c r="Q10" s="68"/>
      <c r="R10" s="68"/>
      <c r="S10" s="68"/>
      <c r="T10" s="68"/>
      <c r="U10" s="73">
        <f>3419803.93+4322181.33</f>
        <v>7741985.2599999998</v>
      </c>
      <c r="V10" s="61"/>
      <c r="W10" s="66">
        <f>G10+H10+K10+L10-U10</f>
        <v>0</v>
      </c>
      <c r="Y10" s="81"/>
    </row>
    <row r="11" spans="2:26" ht="31.5" x14ac:dyDescent="0.25">
      <c r="B11" s="99">
        <v>52</v>
      </c>
      <c r="C11" s="59">
        <v>100753</v>
      </c>
      <c r="D11" s="60" t="s">
        <v>58</v>
      </c>
      <c r="E11" s="70">
        <v>0</v>
      </c>
      <c r="F11" s="70">
        <v>0</v>
      </c>
      <c r="G11" s="70">
        <v>0</v>
      </c>
      <c r="H11" s="70">
        <v>0</v>
      </c>
      <c r="I11" s="61">
        <v>0</v>
      </c>
      <c r="J11" s="68">
        <v>0</v>
      </c>
      <c r="K11" s="61">
        <v>3000000</v>
      </c>
      <c r="L11" s="68">
        <v>0</v>
      </c>
      <c r="M11" s="61">
        <v>3000000</v>
      </c>
      <c r="N11" s="68">
        <v>0</v>
      </c>
      <c r="O11" s="61">
        <v>0</v>
      </c>
      <c r="P11" s="68">
        <v>0</v>
      </c>
      <c r="Q11" s="68"/>
      <c r="R11" s="68"/>
      <c r="S11" s="68"/>
      <c r="T11" s="68"/>
      <c r="U11" s="73">
        <v>0</v>
      </c>
      <c r="V11" s="61"/>
      <c r="W11" s="66">
        <f>M11+N11-U11</f>
        <v>3000000</v>
      </c>
      <c r="Y11" s="81"/>
    </row>
    <row r="12" spans="2:26" ht="31.5" x14ac:dyDescent="0.25">
      <c r="B12" s="86"/>
      <c r="C12" s="59">
        <v>101315</v>
      </c>
      <c r="D12" s="60" t="s">
        <v>59</v>
      </c>
      <c r="E12" s="70">
        <v>0</v>
      </c>
      <c r="F12" s="70">
        <v>0</v>
      </c>
      <c r="G12" s="70">
        <v>0</v>
      </c>
      <c r="H12" s="70">
        <v>0</v>
      </c>
      <c r="I12" s="61">
        <v>0</v>
      </c>
      <c r="J12" s="68">
        <v>0</v>
      </c>
      <c r="K12" s="61">
        <v>6000000</v>
      </c>
      <c r="L12" s="68">
        <f>11954000+17000000</f>
        <v>28954000</v>
      </c>
      <c r="M12" s="61">
        <v>6000000</v>
      </c>
      <c r="N12" s="70">
        <f>11954000+16975800</f>
        <v>28929800</v>
      </c>
      <c r="O12" s="61">
        <v>0</v>
      </c>
      <c r="P12" s="68">
        <v>0</v>
      </c>
      <c r="Q12" s="68"/>
      <c r="R12" s="68"/>
      <c r="S12" s="68"/>
      <c r="T12" s="68"/>
      <c r="U12" s="73">
        <v>0</v>
      </c>
      <c r="V12" s="61"/>
      <c r="W12" s="66">
        <f>M12+N12-U12</f>
        <v>34929800</v>
      </c>
      <c r="Y12" s="81"/>
    </row>
    <row r="13" spans="2:26" ht="24.95" customHeight="1" x14ac:dyDescent="0.25">
      <c r="B13" s="86"/>
      <c r="C13" s="59">
        <v>101351</v>
      </c>
      <c r="D13" s="60" t="s">
        <v>35</v>
      </c>
      <c r="E13" s="70">
        <f>3661000+207000</f>
        <v>3868000</v>
      </c>
      <c r="F13" s="70">
        <v>0</v>
      </c>
      <c r="G13" s="70">
        <f>3282258-26435.99-449396.79-48688.3-1243725.98</f>
        <v>1514010.94</v>
      </c>
      <c r="H13" s="70">
        <v>0</v>
      </c>
      <c r="I13" s="61">
        <v>1403169.29</v>
      </c>
      <c r="J13" s="68">
        <v>0</v>
      </c>
      <c r="K13" s="61">
        <v>0</v>
      </c>
      <c r="L13" s="68">
        <v>0</v>
      </c>
      <c r="M13" s="70">
        <v>586672.56999999995</v>
      </c>
      <c r="N13" s="70">
        <v>4840</v>
      </c>
      <c r="O13" s="61">
        <f>104683.8+6157.87</f>
        <v>110841.67</v>
      </c>
      <c r="P13" s="68">
        <v>0</v>
      </c>
      <c r="Q13" s="68"/>
      <c r="R13" s="68"/>
      <c r="S13" s="68"/>
      <c r="T13" s="68"/>
      <c r="U13" s="73">
        <v>0</v>
      </c>
      <c r="V13" s="61">
        <v>1514010.94</v>
      </c>
      <c r="W13" s="66">
        <f>G13+H13+M13+N13-U13-Y13</f>
        <v>1994681.8599999999</v>
      </c>
      <c r="Y13" s="81">
        <v>110841.65</v>
      </c>
      <c r="Z13" s="74">
        <f>Y13</f>
        <v>110841.65</v>
      </c>
    </row>
    <row r="14" spans="2:26" ht="31.5" customHeight="1" x14ac:dyDescent="0.25">
      <c r="B14" s="86"/>
      <c r="C14" s="59">
        <v>101419</v>
      </c>
      <c r="D14" s="60" t="s">
        <v>36</v>
      </c>
      <c r="E14" s="70">
        <f>1686000+92000</f>
        <v>1778000</v>
      </c>
      <c r="F14" s="70">
        <v>0</v>
      </c>
      <c r="G14" s="70">
        <f>1686000+92000-7769.12-134067.13-40277.19-804720.15</f>
        <v>791166.41</v>
      </c>
      <c r="H14" s="70">
        <v>0</v>
      </c>
      <c r="I14" s="61">
        <v>791166.41</v>
      </c>
      <c r="J14" s="68">
        <v>0</v>
      </c>
      <c r="K14" s="61">
        <v>0</v>
      </c>
      <c r="L14" s="68">
        <v>0</v>
      </c>
      <c r="M14" s="70">
        <v>179469.9</v>
      </c>
      <c r="N14" s="70">
        <v>4840</v>
      </c>
      <c r="O14" s="61">
        <v>0</v>
      </c>
      <c r="P14" s="68">
        <v>0</v>
      </c>
      <c r="Q14" s="68"/>
      <c r="R14" s="68"/>
      <c r="S14" s="68"/>
      <c r="T14" s="68"/>
      <c r="U14" s="73">
        <v>0</v>
      </c>
      <c r="V14" s="61">
        <v>791166.41</v>
      </c>
      <c r="W14" s="66">
        <f>G14+H14+M14+N14-U14</f>
        <v>975476.31</v>
      </c>
      <c r="Y14" s="81"/>
    </row>
    <row r="15" spans="2:26" ht="33" customHeight="1" x14ac:dyDescent="0.25">
      <c r="B15" s="86"/>
      <c r="C15" s="59">
        <v>101420</v>
      </c>
      <c r="D15" s="60" t="s">
        <v>37</v>
      </c>
      <c r="E15" s="70">
        <f>5079000+291000</f>
        <v>5370000</v>
      </c>
      <c r="F15" s="70">
        <v>0</v>
      </c>
      <c r="G15" s="70">
        <f>5079000+291000-32623-554575-20000-400000-174750.31</f>
        <v>4188051.69</v>
      </c>
      <c r="H15" s="70">
        <v>0</v>
      </c>
      <c r="I15" s="61">
        <v>2146224.5099999998</v>
      </c>
      <c r="J15" s="68">
        <v>0</v>
      </c>
      <c r="K15" s="61">
        <v>0</v>
      </c>
      <c r="L15" s="68">
        <v>0</v>
      </c>
      <c r="M15" s="70">
        <v>1044651</v>
      </c>
      <c r="N15" s="70">
        <v>4840</v>
      </c>
      <c r="O15" s="61">
        <f>319873.78+18816.1</f>
        <v>338689.88</v>
      </c>
      <c r="P15" s="68">
        <v>0</v>
      </c>
      <c r="Q15" s="68"/>
      <c r="R15" s="68"/>
      <c r="S15" s="68"/>
      <c r="T15" s="68"/>
      <c r="U15" s="73">
        <v>0</v>
      </c>
      <c r="V15" s="61">
        <v>4188051.69</v>
      </c>
      <c r="W15" s="66">
        <f>G15+H15+M15+N15-U15-Y15</f>
        <v>3195715.51</v>
      </c>
      <c r="Y15" s="81">
        <v>2041827.18</v>
      </c>
      <c r="Z15" s="74">
        <f>Y15</f>
        <v>2041827.18</v>
      </c>
    </row>
    <row r="16" spans="2:26" ht="24.95" customHeight="1" x14ac:dyDescent="0.25">
      <c r="B16" s="86"/>
      <c r="C16" s="59">
        <v>101422</v>
      </c>
      <c r="D16" s="60" t="s">
        <v>38</v>
      </c>
      <c r="E16" s="70">
        <f>4175000+238000</f>
        <v>4413000</v>
      </c>
      <c r="F16" s="70">
        <v>0</v>
      </c>
      <c r="G16" s="70">
        <f>6322618-12547.82-213311-31548.59-536320-36074.56-460142.5</f>
        <v>5032673.53</v>
      </c>
      <c r="H16" s="70">
        <v>0</v>
      </c>
      <c r="I16" s="61">
        <v>4879548.51</v>
      </c>
      <c r="J16" s="68">
        <v>0</v>
      </c>
      <c r="K16" s="61">
        <v>0</v>
      </c>
      <c r="L16" s="68">
        <v>0</v>
      </c>
      <c r="M16" s="70">
        <v>786062.7</v>
      </c>
      <c r="N16" s="70">
        <v>4840</v>
      </c>
      <c r="O16" s="61">
        <v>0</v>
      </c>
      <c r="P16" s="68">
        <v>0</v>
      </c>
      <c r="Q16" s="68"/>
      <c r="R16" s="68"/>
      <c r="S16" s="68"/>
      <c r="T16" s="68"/>
      <c r="U16" s="73">
        <v>0</v>
      </c>
      <c r="V16" s="61">
        <v>5032673.53</v>
      </c>
      <c r="W16" s="66">
        <f>G16+H16+M16+N16-U16-Y16</f>
        <v>5670451.2100000009</v>
      </c>
      <c r="Y16" s="81">
        <v>153125.01999999999</v>
      </c>
      <c r="Z16" s="74">
        <f>Y16</f>
        <v>153125.01999999999</v>
      </c>
    </row>
    <row r="17" spans="2:28" ht="32.25" customHeight="1" x14ac:dyDescent="0.25">
      <c r="B17" s="86"/>
      <c r="C17" s="59">
        <v>101423</v>
      </c>
      <c r="D17" s="60" t="s">
        <v>39</v>
      </c>
      <c r="E17" s="70">
        <f>5719000+328000</f>
        <v>6047000</v>
      </c>
      <c r="F17" s="70">
        <v>0</v>
      </c>
      <c r="G17" s="70">
        <f>7954229-429304.19</f>
        <v>7524924.8099999996</v>
      </c>
      <c r="H17" s="70">
        <v>0</v>
      </c>
      <c r="I17" s="61">
        <v>5107137.58</v>
      </c>
      <c r="J17" s="68">
        <v>0</v>
      </c>
      <c r="K17" s="61">
        <v>0</v>
      </c>
      <c r="L17" s="68">
        <v>0</v>
      </c>
      <c r="M17" s="70">
        <v>2190316.6800000002</v>
      </c>
      <c r="N17" s="70">
        <v>4840</v>
      </c>
      <c r="O17" s="61">
        <f>565597.23+172518.96</f>
        <v>738116.19</v>
      </c>
      <c r="P17" s="68">
        <v>0</v>
      </c>
      <c r="Q17" s="68"/>
      <c r="R17" s="68"/>
      <c r="S17" s="68"/>
      <c r="T17" s="68"/>
      <c r="U17" s="73">
        <v>0</v>
      </c>
      <c r="V17" s="61">
        <v>7524924.8099999996</v>
      </c>
      <c r="W17" s="66">
        <f>G17+H17+M17+N17-U17-Y17</f>
        <v>7302294.2599999998</v>
      </c>
      <c r="Y17" s="81">
        <v>2417787.23</v>
      </c>
      <c r="Z17" s="74">
        <f>Y17-Y46</f>
        <v>1679671.04</v>
      </c>
    </row>
    <row r="18" spans="2:28" ht="21.95" customHeight="1" x14ac:dyDescent="0.25">
      <c r="B18" s="86"/>
      <c r="C18" s="59">
        <v>101436</v>
      </c>
      <c r="D18" s="60" t="s">
        <v>60</v>
      </c>
      <c r="E18" s="70">
        <v>0</v>
      </c>
      <c r="F18" s="70">
        <v>0</v>
      </c>
      <c r="G18" s="70">
        <v>0</v>
      </c>
      <c r="H18" s="70">
        <v>0</v>
      </c>
      <c r="I18" s="61">
        <v>0</v>
      </c>
      <c r="J18" s="68">
        <v>0</v>
      </c>
      <c r="K18" s="61">
        <v>2562000</v>
      </c>
      <c r="L18" s="68">
        <f>3844000+7704000</f>
        <v>11548000</v>
      </c>
      <c r="M18" s="61">
        <v>2562000</v>
      </c>
      <c r="N18" s="68">
        <f>3844000+7704000</f>
        <v>11548000</v>
      </c>
      <c r="O18" s="61">
        <v>0</v>
      </c>
      <c r="P18" s="68">
        <v>0</v>
      </c>
      <c r="Q18" s="68"/>
      <c r="R18" s="68"/>
      <c r="S18" s="68"/>
      <c r="T18" s="68"/>
      <c r="U18" s="73">
        <v>0</v>
      </c>
      <c r="V18" s="61"/>
      <c r="W18" s="66">
        <f>M18+N18-U18</f>
        <v>14110000</v>
      </c>
      <c r="Y18" s="81"/>
    </row>
    <row r="19" spans="2:28" ht="31.5" x14ac:dyDescent="0.25">
      <c r="B19" s="86"/>
      <c r="C19" s="59">
        <v>101451</v>
      </c>
      <c r="D19" s="60" t="s">
        <v>61</v>
      </c>
      <c r="E19" s="70">
        <v>0</v>
      </c>
      <c r="F19" s="70">
        <v>0</v>
      </c>
      <c r="G19" s="70">
        <v>0</v>
      </c>
      <c r="H19" s="70">
        <v>0</v>
      </c>
      <c r="I19" s="61">
        <v>0</v>
      </c>
      <c r="J19" s="68">
        <v>0</v>
      </c>
      <c r="K19" s="61">
        <v>2357000</v>
      </c>
      <c r="L19" s="68">
        <f>2569000+1040000</f>
        <v>3609000</v>
      </c>
      <c r="M19" s="61">
        <v>2357000</v>
      </c>
      <c r="N19" s="68">
        <f>2569000+1040000</f>
        <v>3609000</v>
      </c>
      <c r="O19" s="61">
        <v>0</v>
      </c>
      <c r="P19" s="68">
        <v>0</v>
      </c>
      <c r="Q19" s="68"/>
      <c r="R19" s="68"/>
      <c r="S19" s="68"/>
      <c r="T19" s="68"/>
      <c r="U19" s="73">
        <v>0</v>
      </c>
      <c r="V19" s="61"/>
      <c r="W19" s="66">
        <f>M19+N19-U19</f>
        <v>5966000</v>
      </c>
      <c r="Y19" s="81"/>
    </row>
    <row r="20" spans="2:28" ht="21.95" customHeight="1" x14ac:dyDescent="0.25">
      <c r="B20" s="86"/>
      <c r="C20" s="59">
        <v>101480</v>
      </c>
      <c r="D20" s="60" t="s">
        <v>62</v>
      </c>
      <c r="E20" s="70">
        <v>0</v>
      </c>
      <c r="F20" s="70">
        <v>0</v>
      </c>
      <c r="G20" s="70">
        <v>0</v>
      </c>
      <c r="H20" s="70">
        <v>0</v>
      </c>
      <c r="I20" s="61">
        <v>0</v>
      </c>
      <c r="J20" s="68">
        <v>0</v>
      </c>
      <c r="K20" s="61">
        <v>0</v>
      </c>
      <c r="L20" s="68">
        <v>1166000</v>
      </c>
      <c r="M20" s="61">
        <v>440000</v>
      </c>
      <c r="N20" s="68">
        <v>726000</v>
      </c>
      <c r="O20" s="61">
        <v>0</v>
      </c>
      <c r="P20" s="68">
        <v>0</v>
      </c>
      <c r="Q20" s="68"/>
      <c r="R20" s="68"/>
      <c r="S20" s="68"/>
      <c r="T20" s="68"/>
      <c r="U20" s="73">
        <v>0</v>
      </c>
      <c r="V20" s="61"/>
      <c r="W20" s="66">
        <f>M20+N20-U20</f>
        <v>1166000</v>
      </c>
      <c r="Y20" s="81"/>
    </row>
    <row r="21" spans="2:28" ht="21.95" customHeight="1" x14ac:dyDescent="0.25">
      <c r="B21" s="86"/>
      <c r="C21" s="59">
        <v>101486</v>
      </c>
      <c r="D21" s="60"/>
      <c r="E21" s="70"/>
      <c r="F21" s="70"/>
      <c r="G21" s="70"/>
      <c r="H21" s="70"/>
      <c r="I21" s="61"/>
      <c r="J21" s="68"/>
      <c r="K21" s="61">
        <v>0</v>
      </c>
      <c r="L21" s="68">
        <v>0</v>
      </c>
      <c r="M21" s="70">
        <v>1100000</v>
      </c>
      <c r="N21" s="77">
        <v>0</v>
      </c>
      <c r="O21" s="61"/>
      <c r="P21" s="68"/>
      <c r="Q21" s="68"/>
      <c r="R21" s="68"/>
      <c r="S21" s="68"/>
      <c r="T21" s="68"/>
      <c r="U21" s="73">
        <v>0</v>
      </c>
      <c r="V21" s="61"/>
      <c r="W21" s="66">
        <f>M21+N21-U21</f>
        <v>1100000</v>
      </c>
      <c r="Y21" s="81"/>
    </row>
    <row r="22" spans="2:28" ht="21.95" customHeight="1" x14ac:dyDescent="0.25">
      <c r="B22" s="86"/>
      <c r="C22" s="59">
        <v>101494</v>
      </c>
      <c r="D22" s="60"/>
      <c r="E22" s="70"/>
      <c r="F22" s="70"/>
      <c r="G22" s="70"/>
      <c r="H22" s="70"/>
      <c r="I22" s="61"/>
      <c r="J22" s="68"/>
      <c r="K22" s="61">
        <v>0</v>
      </c>
      <c r="L22" s="68">
        <v>0</v>
      </c>
      <c r="M22" s="70">
        <v>1017500</v>
      </c>
      <c r="N22" s="77">
        <v>0</v>
      </c>
      <c r="O22" s="61"/>
      <c r="P22" s="68"/>
      <c r="Q22" s="68"/>
      <c r="R22" s="68"/>
      <c r="S22" s="68"/>
      <c r="T22" s="68"/>
      <c r="U22" s="73">
        <v>0</v>
      </c>
      <c r="V22" s="61"/>
      <c r="W22" s="66">
        <f>M22+N22-U22</f>
        <v>1017500</v>
      </c>
      <c r="Y22" s="81"/>
    </row>
    <row r="23" spans="2:28" ht="33.75" customHeight="1" x14ac:dyDescent="0.25">
      <c r="B23" s="86"/>
      <c r="C23" s="59">
        <v>101137</v>
      </c>
      <c r="D23" s="60" t="s">
        <v>40</v>
      </c>
      <c r="E23" s="70">
        <f>11137000+655000</f>
        <v>11792000</v>
      </c>
      <c r="F23" s="70">
        <v>0</v>
      </c>
      <c r="G23" s="70">
        <v>12396054.5</v>
      </c>
      <c r="H23" s="70">
        <v>0</v>
      </c>
      <c r="I23" s="61">
        <v>12338318.02</v>
      </c>
      <c r="J23" s="68">
        <v>0</v>
      </c>
      <c r="K23" s="61">
        <v>0</v>
      </c>
      <c r="L23" s="68">
        <v>0</v>
      </c>
      <c r="M23" s="70">
        <v>0</v>
      </c>
      <c r="N23" s="70">
        <v>0</v>
      </c>
      <c r="O23" s="61">
        <v>0</v>
      </c>
      <c r="P23" s="68">
        <v>0</v>
      </c>
      <c r="Q23" s="68"/>
      <c r="R23" s="68"/>
      <c r="S23" s="68"/>
      <c r="T23" s="68"/>
      <c r="U23" s="73">
        <v>12338318.02</v>
      </c>
      <c r="V23" s="61">
        <v>12396054.5</v>
      </c>
      <c r="W23" s="66">
        <f>G23+H23+M23+N23-U23-Y23</f>
        <v>4.4383341446518898E-10</v>
      </c>
      <c r="Y23" s="81">
        <v>57736.480000000003</v>
      </c>
      <c r="Z23" s="74">
        <f>Y23</f>
        <v>57736.480000000003</v>
      </c>
      <c r="AB23" s="74"/>
    </row>
    <row r="24" spans="2:28" ht="31.5" x14ac:dyDescent="0.25">
      <c r="B24" s="86"/>
      <c r="C24" s="59">
        <v>101181</v>
      </c>
      <c r="D24" s="60" t="s">
        <v>41</v>
      </c>
      <c r="E24" s="70">
        <f>3167000+392000</f>
        <v>3559000</v>
      </c>
      <c r="F24" s="70">
        <v>0</v>
      </c>
      <c r="G24" s="70">
        <f>3167000+392000-392000-3167000</f>
        <v>0</v>
      </c>
      <c r="H24" s="70">
        <v>0</v>
      </c>
      <c r="I24" s="61">
        <v>0</v>
      </c>
      <c r="J24" s="68">
        <v>0</v>
      </c>
      <c r="K24" s="61">
        <v>14000000</v>
      </c>
      <c r="L24" s="68">
        <v>0</v>
      </c>
      <c r="M24" s="70">
        <v>19751824.550000001</v>
      </c>
      <c r="N24" s="70">
        <v>0</v>
      </c>
      <c r="O24" s="61">
        <v>0</v>
      </c>
      <c r="P24" s="68">
        <v>0</v>
      </c>
      <c r="Q24" s="68"/>
      <c r="R24" s="68"/>
      <c r="S24" s="68"/>
      <c r="T24" s="68"/>
      <c r="U24" s="73">
        <v>0</v>
      </c>
      <c r="V24" s="61"/>
      <c r="W24" s="66">
        <f>G24+H24+M24+N24-U24</f>
        <v>19751824.550000001</v>
      </c>
      <c r="Y24" s="81"/>
      <c r="Z24" s="74"/>
    </row>
    <row r="25" spans="2:28" ht="21.95" customHeight="1" x14ac:dyDescent="0.25">
      <c r="B25" s="86"/>
      <c r="C25" s="59">
        <v>101201</v>
      </c>
      <c r="D25" s="60" t="s">
        <v>63</v>
      </c>
      <c r="E25" s="70">
        <v>0</v>
      </c>
      <c r="F25" s="70">
        <v>0</v>
      </c>
      <c r="G25" s="70">
        <v>0</v>
      </c>
      <c r="H25" s="70">
        <v>0</v>
      </c>
      <c r="I25" s="61">
        <v>0</v>
      </c>
      <c r="J25" s="68">
        <v>0</v>
      </c>
      <c r="K25" s="61">
        <v>3000000</v>
      </c>
      <c r="L25" s="68">
        <v>0</v>
      </c>
      <c r="M25" s="61">
        <v>3000000</v>
      </c>
      <c r="N25" s="68">
        <v>0</v>
      </c>
      <c r="O25" s="61">
        <v>0</v>
      </c>
      <c r="P25" s="68">
        <v>0</v>
      </c>
      <c r="Q25" s="68"/>
      <c r="R25" s="68"/>
      <c r="S25" s="68"/>
      <c r="T25" s="68"/>
      <c r="U25" s="73">
        <v>0</v>
      </c>
      <c r="V25" s="61"/>
      <c r="W25" s="66">
        <f>M25+N25-U25</f>
        <v>3000000</v>
      </c>
      <c r="Y25" s="81"/>
      <c r="Z25" s="74"/>
    </row>
    <row r="26" spans="2:28" ht="31.5" hidden="1" x14ac:dyDescent="0.25">
      <c r="B26" s="86"/>
      <c r="C26" s="59">
        <v>101247</v>
      </c>
      <c r="D26" s="60" t="s">
        <v>42</v>
      </c>
      <c r="E26" s="70">
        <f>1626000+97000</f>
        <v>1723000</v>
      </c>
      <c r="F26" s="70">
        <v>0</v>
      </c>
      <c r="G26" s="70">
        <f>0</f>
        <v>0</v>
      </c>
      <c r="H26" s="70">
        <v>0</v>
      </c>
      <c r="I26" s="61">
        <v>0</v>
      </c>
      <c r="J26" s="68">
        <v>0</v>
      </c>
      <c r="K26" s="61">
        <v>0</v>
      </c>
      <c r="L26" s="68">
        <v>0</v>
      </c>
      <c r="M26" s="70">
        <v>0</v>
      </c>
      <c r="N26" s="70">
        <v>0</v>
      </c>
      <c r="O26" s="61">
        <v>0</v>
      </c>
      <c r="P26" s="68">
        <v>0</v>
      </c>
      <c r="Q26" s="68"/>
      <c r="R26" s="68"/>
      <c r="S26" s="68"/>
      <c r="T26" s="68"/>
      <c r="U26" s="73">
        <v>0</v>
      </c>
      <c r="V26" s="61"/>
      <c r="W26" s="66">
        <f>G26+H26-U26</f>
        <v>0</v>
      </c>
      <c r="Y26" s="81"/>
      <c r="Z26" s="74"/>
    </row>
    <row r="27" spans="2:28" ht="31.5" customHeight="1" x14ac:dyDescent="0.25">
      <c r="B27" s="86"/>
      <c r="C27" s="59">
        <v>101327</v>
      </c>
      <c r="D27" s="60" t="s">
        <v>82</v>
      </c>
      <c r="E27" s="70">
        <v>0</v>
      </c>
      <c r="F27" s="70">
        <v>0</v>
      </c>
      <c r="G27" s="70">
        <v>0</v>
      </c>
      <c r="H27" s="70">
        <v>0</v>
      </c>
      <c r="I27" s="61">
        <v>0</v>
      </c>
      <c r="J27" s="68">
        <v>0</v>
      </c>
      <c r="K27" s="61">
        <v>0</v>
      </c>
      <c r="L27" s="68">
        <v>0</v>
      </c>
      <c r="M27" s="70">
        <v>11413754.65</v>
      </c>
      <c r="N27" s="70">
        <v>0</v>
      </c>
      <c r="O27" s="61">
        <v>0</v>
      </c>
      <c r="P27" s="68">
        <v>0</v>
      </c>
      <c r="Q27" s="68"/>
      <c r="R27" s="68"/>
      <c r="S27" s="68"/>
      <c r="T27" s="68"/>
      <c r="U27" s="73">
        <v>0</v>
      </c>
      <c r="V27" s="61"/>
      <c r="W27" s="66">
        <f>M27+N27-U27</f>
        <v>11413754.65</v>
      </c>
      <c r="Y27" s="81"/>
      <c r="Z27" s="74"/>
    </row>
    <row r="28" spans="2:28" ht="31.5" x14ac:dyDescent="0.25">
      <c r="B28" s="86"/>
      <c r="C28" s="59">
        <v>101342</v>
      </c>
      <c r="D28" s="60" t="s">
        <v>43</v>
      </c>
      <c r="E28" s="70">
        <f>16009000+1465000</f>
        <v>17474000</v>
      </c>
      <c r="F28" s="70">
        <v>0</v>
      </c>
      <c r="G28" s="70">
        <f>14242895-1710531.2</f>
        <v>12532363.800000001</v>
      </c>
      <c r="H28" s="70">
        <v>0</v>
      </c>
      <c r="I28" s="61">
        <v>10359094.52</v>
      </c>
      <c r="J28" s="68">
        <v>0</v>
      </c>
      <c r="K28" s="61">
        <v>12234000</v>
      </c>
      <c r="L28" s="68">
        <v>0</v>
      </c>
      <c r="M28" s="61">
        <v>10116500</v>
      </c>
      <c r="N28" s="68">
        <v>0</v>
      </c>
      <c r="O28" s="61">
        <v>0</v>
      </c>
      <c r="P28" s="68">
        <v>0</v>
      </c>
      <c r="Q28" s="68"/>
      <c r="R28" s="68"/>
      <c r="S28" s="68"/>
      <c r="T28" s="68"/>
      <c r="U28" s="73">
        <v>0</v>
      </c>
      <c r="V28" s="61">
        <v>12532363.800000001</v>
      </c>
      <c r="W28" s="66">
        <f>G28+H28+M28+N28-U28-Z28</f>
        <v>21818487.330000002</v>
      </c>
      <c r="Y28" s="81">
        <v>2173269.2799999998</v>
      </c>
      <c r="Z28" s="74">
        <v>830376.47</v>
      </c>
      <c r="AA28" s="74">
        <f>SUM(Z4:Z28)</f>
        <v>11413754.65</v>
      </c>
      <c r="AB28" s="74">
        <f>Y28-Z28</f>
        <v>1342892.8099999998</v>
      </c>
    </row>
    <row r="29" spans="2:28" ht="31.5" x14ac:dyDescent="0.25">
      <c r="B29" s="86"/>
      <c r="C29" s="59">
        <v>101343</v>
      </c>
      <c r="D29" s="60" t="s">
        <v>64</v>
      </c>
      <c r="E29" s="70">
        <v>0</v>
      </c>
      <c r="F29" s="70">
        <v>0</v>
      </c>
      <c r="G29" s="70">
        <v>0</v>
      </c>
      <c r="H29" s="70">
        <v>0</v>
      </c>
      <c r="I29" s="61">
        <v>0</v>
      </c>
      <c r="J29" s="68">
        <v>0</v>
      </c>
      <c r="K29" s="61">
        <v>0</v>
      </c>
      <c r="L29" s="68">
        <v>1324000</v>
      </c>
      <c r="M29" s="61">
        <v>0</v>
      </c>
      <c r="N29" s="68">
        <v>1324000</v>
      </c>
      <c r="O29" s="61">
        <v>0</v>
      </c>
      <c r="P29" s="61">
        <v>0</v>
      </c>
      <c r="Q29" s="61"/>
      <c r="R29" s="61"/>
      <c r="S29" s="61"/>
      <c r="T29" s="61"/>
      <c r="U29" s="73">
        <v>0</v>
      </c>
      <c r="V29" s="61"/>
      <c r="W29" s="66">
        <f>M29+N29-U29</f>
        <v>1324000</v>
      </c>
      <c r="Y29" s="81"/>
      <c r="Z29" s="74"/>
    </row>
    <row r="30" spans="2:28" ht="31.5" x14ac:dyDescent="0.25">
      <c r="B30" s="86"/>
      <c r="C30" s="59">
        <v>101348</v>
      </c>
      <c r="D30" s="60" t="s">
        <v>65</v>
      </c>
      <c r="E30" s="70">
        <v>0</v>
      </c>
      <c r="F30" s="70">
        <v>0</v>
      </c>
      <c r="G30" s="70">
        <v>0</v>
      </c>
      <c r="H30" s="70">
        <v>0</v>
      </c>
      <c r="I30" s="61">
        <v>0</v>
      </c>
      <c r="J30" s="68">
        <v>0</v>
      </c>
      <c r="K30" s="61">
        <v>7237000</v>
      </c>
      <c r="L30" s="68">
        <v>0</v>
      </c>
      <c r="M30" s="61">
        <v>7237000</v>
      </c>
      <c r="N30" s="68">
        <v>0</v>
      </c>
      <c r="O30" s="61">
        <v>0</v>
      </c>
      <c r="P30" s="61">
        <v>0</v>
      </c>
      <c r="Q30" s="61"/>
      <c r="R30" s="61"/>
      <c r="S30" s="61"/>
      <c r="T30" s="61"/>
      <c r="U30" s="73">
        <v>0</v>
      </c>
      <c r="V30" s="61"/>
      <c r="W30" s="66">
        <f>M30+N30-U30</f>
        <v>7237000</v>
      </c>
      <c r="Y30" s="81"/>
      <c r="Z30" s="74"/>
    </row>
    <row r="31" spans="2:28" ht="21.95" customHeight="1" x14ac:dyDescent="0.25">
      <c r="B31" s="86"/>
      <c r="C31" s="59">
        <v>101185</v>
      </c>
      <c r="D31" s="60" t="s">
        <v>66</v>
      </c>
      <c r="E31" s="70">
        <v>0</v>
      </c>
      <c r="F31" s="70">
        <v>0</v>
      </c>
      <c r="G31" s="70">
        <v>0</v>
      </c>
      <c r="H31" s="70">
        <v>0</v>
      </c>
      <c r="I31" s="61">
        <v>0</v>
      </c>
      <c r="J31" s="68">
        <v>0</v>
      </c>
      <c r="K31" s="61">
        <v>6202000</v>
      </c>
      <c r="L31" s="68">
        <v>0</v>
      </c>
      <c r="M31" s="61">
        <v>6202000</v>
      </c>
      <c r="N31" s="68">
        <v>0</v>
      </c>
      <c r="O31" s="61">
        <v>0</v>
      </c>
      <c r="P31" s="61">
        <v>0</v>
      </c>
      <c r="Q31" s="61"/>
      <c r="R31" s="61"/>
      <c r="S31" s="61"/>
      <c r="T31" s="61"/>
      <c r="U31" s="73">
        <v>0</v>
      </c>
      <c r="V31" s="61"/>
      <c r="W31" s="66">
        <f>M31+N31-U31</f>
        <v>6202000</v>
      </c>
      <c r="Y31" s="81"/>
      <c r="Z31" s="74"/>
    </row>
    <row r="32" spans="2:28" ht="21.95" customHeight="1" x14ac:dyDescent="0.25">
      <c r="B32" s="86"/>
      <c r="C32" s="59">
        <v>101187</v>
      </c>
      <c r="D32" s="60" t="s">
        <v>44</v>
      </c>
      <c r="E32" s="70">
        <f>968000+59000</f>
        <v>1027000</v>
      </c>
      <c r="F32" s="70">
        <v>0</v>
      </c>
      <c r="G32" s="70">
        <f>968000+59000</f>
        <v>1027000</v>
      </c>
      <c r="H32" s="70">
        <v>0</v>
      </c>
      <c r="I32" s="61">
        <v>752318.7</v>
      </c>
      <c r="J32" s="68">
        <v>0</v>
      </c>
      <c r="K32" s="61">
        <v>0</v>
      </c>
      <c r="L32" s="68">
        <v>0</v>
      </c>
      <c r="M32" s="70">
        <v>45896.4</v>
      </c>
      <c r="N32" s="70">
        <v>0</v>
      </c>
      <c r="O32" s="61">
        <v>45896.4</v>
      </c>
      <c r="P32" s="61">
        <v>0</v>
      </c>
      <c r="Q32" s="61"/>
      <c r="R32" s="61"/>
      <c r="S32" s="61"/>
      <c r="T32" s="61"/>
      <c r="U32" s="73">
        <v>787286.69</v>
      </c>
      <c r="V32" s="61">
        <v>1027000</v>
      </c>
      <c r="W32" s="66">
        <f>G32+H32+M32+N32-U32</f>
        <v>285609.70999999996</v>
      </c>
      <c r="Y32" s="81">
        <v>274681.3</v>
      </c>
      <c r="Z32" s="74"/>
      <c r="AB32" s="74">
        <f>Y32</f>
        <v>274681.3</v>
      </c>
    </row>
    <row r="33" spans="2:28" ht="21.95" customHeight="1" x14ac:dyDescent="0.25">
      <c r="B33" s="86"/>
      <c r="C33" s="59">
        <v>101242</v>
      </c>
      <c r="D33" s="60" t="s">
        <v>45</v>
      </c>
      <c r="E33" s="70">
        <f>21250000+1250000</f>
        <v>22500000</v>
      </c>
      <c r="F33" s="70">
        <v>0</v>
      </c>
      <c r="G33" s="70">
        <v>19864085.649999999</v>
      </c>
      <c r="H33" s="70">
        <v>0</v>
      </c>
      <c r="I33" s="61">
        <v>19864085.649999999</v>
      </c>
      <c r="J33" s="68">
        <v>0</v>
      </c>
      <c r="K33" s="61">
        <v>30715000</v>
      </c>
      <c r="L33" s="68">
        <v>0</v>
      </c>
      <c r="M33" s="70">
        <v>30715000</v>
      </c>
      <c r="N33" s="70">
        <v>0</v>
      </c>
      <c r="O33" s="61">
        <v>6545744.2400000002</v>
      </c>
      <c r="P33" s="61">
        <v>0</v>
      </c>
      <c r="Q33" s="61"/>
      <c r="R33" s="61"/>
      <c r="S33" s="61"/>
      <c r="T33" s="61"/>
      <c r="U33" s="73">
        <f>5902785.7+6842535.32</f>
        <v>12745321.02</v>
      </c>
      <c r="V33" s="61">
        <v>13961299.949999999</v>
      </c>
      <c r="W33" s="66">
        <f>I33+J33+M33+N33-U33</f>
        <v>37833764.629999995</v>
      </c>
      <c r="Y33" s="81"/>
      <c r="Z33" s="74"/>
    </row>
    <row r="34" spans="2:28" ht="24.95" hidden="1" customHeight="1" x14ac:dyDescent="0.25">
      <c r="B34" s="87"/>
      <c r="C34" s="59">
        <v>101093</v>
      </c>
      <c r="D34" s="60" t="s">
        <v>46</v>
      </c>
      <c r="E34" s="61">
        <f>10000000</f>
        <v>10000000</v>
      </c>
      <c r="F34" s="61">
        <v>0</v>
      </c>
      <c r="G34" s="61">
        <f>10000000</f>
        <v>10000000</v>
      </c>
      <c r="H34" s="61">
        <v>0</v>
      </c>
      <c r="I34" s="61">
        <v>10000000</v>
      </c>
      <c r="J34" s="68">
        <v>0</v>
      </c>
      <c r="K34" s="61">
        <v>0</v>
      </c>
      <c r="L34" s="68">
        <v>0</v>
      </c>
      <c r="M34" s="61">
        <v>0</v>
      </c>
      <c r="N34" s="61">
        <v>0</v>
      </c>
      <c r="O34" s="61">
        <v>0</v>
      </c>
      <c r="P34" s="61">
        <v>0</v>
      </c>
      <c r="Q34" s="61"/>
      <c r="R34" s="61"/>
      <c r="S34" s="61"/>
      <c r="T34" s="61"/>
      <c r="U34" s="73">
        <v>10000000</v>
      </c>
      <c r="V34" s="61"/>
      <c r="W34" s="66">
        <f>G34+H34+K34+L34-U34</f>
        <v>0</v>
      </c>
      <c r="Y34" s="81"/>
      <c r="Z34" s="74"/>
    </row>
    <row r="35" spans="2:28" ht="21.95" customHeight="1" x14ac:dyDescent="0.25">
      <c r="B35" s="100">
        <v>59</v>
      </c>
      <c r="C35" s="62">
        <v>101355</v>
      </c>
      <c r="D35" s="63" t="s">
        <v>47</v>
      </c>
      <c r="E35" s="64">
        <f>2125000+125000</f>
        <v>2250000</v>
      </c>
      <c r="F35" s="64">
        <v>0</v>
      </c>
      <c r="G35" s="71">
        <f>2125000+125000</f>
        <v>2250000</v>
      </c>
      <c r="H35" s="71">
        <v>0</v>
      </c>
      <c r="I35" s="64">
        <v>2171100.0699999998</v>
      </c>
      <c r="J35" s="69">
        <v>0</v>
      </c>
      <c r="K35" s="71">
        <v>0</v>
      </c>
      <c r="L35" s="69">
        <v>0</v>
      </c>
      <c r="M35" s="71">
        <v>0</v>
      </c>
      <c r="N35" s="71">
        <v>0</v>
      </c>
      <c r="O35" s="61">
        <v>0</v>
      </c>
      <c r="P35" s="61">
        <v>0</v>
      </c>
      <c r="Q35" s="61"/>
      <c r="R35" s="61"/>
      <c r="S35" s="61"/>
      <c r="T35" s="61"/>
      <c r="U35" s="73">
        <v>2062369.76</v>
      </c>
      <c r="V35" s="61">
        <v>187630.24</v>
      </c>
      <c r="W35" s="66">
        <f>G35+H35+M35+N35-U35</f>
        <v>187630.24</v>
      </c>
      <c r="Y35" s="81">
        <v>78899.929999999993</v>
      </c>
      <c r="Z35" s="74"/>
      <c r="AB35" s="74">
        <f>Y35</f>
        <v>78899.929999999993</v>
      </c>
    </row>
    <row r="36" spans="2:28" ht="31.5" x14ac:dyDescent="0.25">
      <c r="B36" s="101"/>
      <c r="C36" s="62">
        <v>101472</v>
      </c>
      <c r="D36" s="63" t="s">
        <v>67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69">
        <v>0</v>
      </c>
      <c r="K36" s="71">
        <v>2586000</v>
      </c>
      <c r="L36" s="69">
        <v>0</v>
      </c>
      <c r="M36" s="71">
        <v>2586000</v>
      </c>
      <c r="N36" s="69">
        <v>0</v>
      </c>
      <c r="O36" s="61">
        <v>0</v>
      </c>
      <c r="P36" s="61">
        <v>0</v>
      </c>
      <c r="Q36" s="61"/>
      <c r="R36" s="61"/>
      <c r="S36" s="61"/>
      <c r="T36" s="61"/>
      <c r="U36" s="73">
        <v>0</v>
      </c>
      <c r="V36" s="61"/>
      <c r="W36" s="66">
        <f>M36+N36-U36</f>
        <v>2586000</v>
      </c>
      <c r="Y36" s="81"/>
      <c r="Z36" s="74"/>
    </row>
    <row r="37" spans="2:28" ht="31.5" x14ac:dyDescent="0.25">
      <c r="B37" s="101"/>
      <c r="C37" s="62">
        <v>101473</v>
      </c>
      <c r="D37" s="63" t="s">
        <v>68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69">
        <v>0</v>
      </c>
      <c r="K37" s="71">
        <v>2584000</v>
      </c>
      <c r="L37" s="69">
        <v>0</v>
      </c>
      <c r="M37" s="71">
        <v>2584000</v>
      </c>
      <c r="N37" s="69">
        <v>0</v>
      </c>
      <c r="O37" s="61">
        <v>0</v>
      </c>
      <c r="P37" s="61">
        <v>0</v>
      </c>
      <c r="Q37" s="61"/>
      <c r="R37" s="61"/>
      <c r="S37" s="61"/>
      <c r="T37" s="61"/>
      <c r="U37" s="73">
        <v>0</v>
      </c>
      <c r="V37" s="61"/>
      <c r="W37" s="66">
        <f>M37+N37-U37</f>
        <v>2584000</v>
      </c>
      <c r="Y37" s="81"/>
      <c r="Z37" s="74"/>
    </row>
    <row r="38" spans="2:28" ht="21.95" customHeight="1" x14ac:dyDescent="0.25">
      <c r="B38" s="101"/>
      <c r="C38" s="59">
        <v>101477</v>
      </c>
      <c r="D38" s="60" t="s">
        <v>48</v>
      </c>
      <c r="E38" s="61">
        <f>34000000</f>
        <v>34000000</v>
      </c>
      <c r="F38" s="61">
        <v>0</v>
      </c>
      <c r="G38" s="61">
        <f>34000000-32782162.5</f>
        <v>1217837.5</v>
      </c>
      <c r="H38" s="61">
        <v>0</v>
      </c>
      <c r="I38" s="61">
        <v>458638.75</v>
      </c>
      <c r="J38" s="61">
        <v>0</v>
      </c>
      <c r="K38" s="61">
        <v>80750000</v>
      </c>
      <c r="L38" s="61">
        <v>0</v>
      </c>
      <c r="M38" s="61">
        <v>80750000</v>
      </c>
      <c r="N38" s="61">
        <v>0</v>
      </c>
      <c r="O38" s="61">
        <v>0</v>
      </c>
      <c r="P38" s="61">
        <v>0</v>
      </c>
      <c r="Q38" s="61"/>
      <c r="R38" s="61"/>
      <c r="S38" s="61"/>
      <c r="T38" s="61"/>
      <c r="U38" s="73">
        <v>32782162.5</v>
      </c>
      <c r="V38" s="61">
        <v>1217837.5</v>
      </c>
      <c r="W38" s="66">
        <f>E38+F38+M38+N38-U38</f>
        <v>81967837.5</v>
      </c>
      <c r="Y38" s="81">
        <v>759198.75</v>
      </c>
      <c r="Z38" s="74"/>
      <c r="AB38" s="74">
        <f>Y38</f>
        <v>759198.75</v>
      </c>
    </row>
    <row r="39" spans="2:28" ht="21.95" customHeight="1" x14ac:dyDescent="0.25">
      <c r="B39" s="101"/>
      <c r="C39" s="59">
        <v>101503</v>
      </c>
      <c r="D39" s="60" t="s">
        <v>69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28670000</v>
      </c>
      <c r="L39" s="61">
        <v>0</v>
      </c>
      <c r="M39" s="61">
        <v>28670000</v>
      </c>
      <c r="N39" s="61">
        <v>0</v>
      </c>
      <c r="O39" s="61">
        <v>0</v>
      </c>
      <c r="P39" s="61">
        <v>0</v>
      </c>
      <c r="Q39" s="61"/>
      <c r="R39" s="61"/>
      <c r="S39" s="61"/>
      <c r="T39" s="61"/>
      <c r="U39" s="73">
        <v>0</v>
      </c>
      <c r="V39" s="61"/>
      <c r="W39" s="66">
        <f>M39+N39-U39</f>
        <v>28670000</v>
      </c>
      <c r="Y39" s="81"/>
      <c r="Z39" s="74"/>
    </row>
    <row r="40" spans="2:28" ht="21.95" customHeight="1" thickBot="1" x14ac:dyDescent="0.3">
      <c r="B40" s="101"/>
      <c r="C40" s="59">
        <v>101505</v>
      </c>
      <c r="D40" s="60" t="s">
        <v>70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9000000</v>
      </c>
      <c r="L40" s="61">
        <v>0</v>
      </c>
      <c r="M40" s="61">
        <v>9000000</v>
      </c>
      <c r="N40" s="61">
        <v>0</v>
      </c>
      <c r="O40" s="61">
        <v>0</v>
      </c>
      <c r="P40" s="61">
        <v>0</v>
      </c>
      <c r="Q40" s="61"/>
      <c r="R40" s="61"/>
      <c r="S40" s="61"/>
      <c r="T40" s="61"/>
      <c r="U40" s="73">
        <v>0</v>
      </c>
      <c r="V40" s="61"/>
      <c r="W40" s="66">
        <f>M40+N40-U40</f>
        <v>9000000</v>
      </c>
      <c r="Y40" s="82"/>
      <c r="Z40" s="74"/>
    </row>
    <row r="41" spans="2:28" ht="24.95" customHeight="1" thickTop="1" x14ac:dyDescent="0.25">
      <c r="B41" s="93" t="s">
        <v>2</v>
      </c>
      <c r="C41" s="94"/>
      <c r="D41" s="95"/>
      <c r="E41" s="72">
        <f t="shared" ref="E41:M41" si="0">SUM(E4:E40)</f>
        <v>336930000</v>
      </c>
      <c r="F41" s="72">
        <f t="shared" si="0"/>
        <v>63070000</v>
      </c>
      <c r="G41" s="79">
        <f t="shared" si="0"/>
        <v>211716422.49000004</v>
      </c>
      <c r="H41" s="79">
        <f t="shared" si="0"/>
        <v>55501415.009999998</v>
      </c>
      <c r="I41" s="79">
        <f t="shared" si="0"/>
        <v>203601172.23000002</v>
      </c>
      <c r="J41" s="79">
        <f t="shared" si="0"/>
        <v>48976541.18</v>
      </c>
      <c r="K41" s="72">
        <f t="shared" si="0"/>
        <v>363004000</v>
      </c>
      <c r="L41" s="72">
        <f t="shared" si="0"/>
        <v>136996000</v>
      </c>
      <c r="M41" s="72">
        <f t="shared" si="0"/>
        <v>375595870.84000003</v>
      </c>
      <c r="N41" s="72">
        <f t="shared" ref="N41" si="1">SUM(N4:N40)</f>
        <v>136588580.46000001</v>
      </c>
      <c r="O41" s="72">
        <f t="shared" ref="O41" si="2">SUM(O4:O40)</f>
        <v>10132042.02</v>
      </c>
      <c r="P41" s="72">
        <f t="shared" ref="P41" si="3">SUM(P4:P40)</f>
        <v>2127250.4300000002</v>
      </c>
      <c r="Q41" s="72">
        <f t="shared" ref="Q41" si="4">SUM(Q4:Q40)</f>
        <v>0</v>
      </c>
      <c r="R41" s="72">
        <f t="shared" ref="R41" si="5">SUM(R4:R40)</f>
        <v>0</v>
      </c>
      <c r="S41" s="72">
        <f t="shared" ref="S41" si="6">SUM(S4:S40)</f>
        <v>0</v>
      </c>
      <c r="T41" s="72">
        <f t="shared" ref="T41" si="7">SUM(T4:T40)</f>
        <v>0</v>
      </c>
      <c r="U41" s="88">
        <f>SUM(U4:U40)</f>
        <v>183116150.76999998</v>
      </c>
      <c r="V41" s="88">
        <f>SUM(V4:V40)</f>
        <v>136851989.25999999</v>
      </c>
      <c r="W41" s="90">
        <f>SUM(W4:W40)</f>
        <v>616883849.23000002</v>
      </c>
      <c r="Y41" s="121">
        <f>SUM(Y4:Y40)</f>
        <v>14640124.090000002</v>
      </c>
      <c r="Z41" s="74"/>
    </row>
    <row r="42" spans="2:28" ht="24.95" customHeight="1" thickBot="1" x14ac:dyDescent="0.3">
      <c r="B42" s="96"/>
      <c r="C42" s="97"/>
      <c r="D42" s="98"/>
      <c r="E42" s="92">
        <f>SUM(E4:F40)</f>
        <v>400000000</v>
      </c>
      <c r="F42" s="92"/>
      <c r="G42" s="92">
        <f>SUM(G4:H40)</f>
        <v>267217837.5</v>
      </c>
      <c r="H42" s="92"/>
      <c r="I42" s="92">
        <f>SUM(I4:J40)</f>
        <v>252577713.41</v>
      </c>
      <c r="J42" s="92"/>
      <c r="K42" s="92">
        <f>SUM(K4:L40)</f>
        <v>500000000</v>
      </c>
      <c r="L42" s="92"/>
      <c r="M42" s="92">
        <f>SUM(M4:N40)</f>
        <v>512184451.29999995</v>
      </c>
      <c r="N42" s="92"/>
      <c r="O42" s="92">
        <f>SUM(O4:P40)</f>
        <v>12259292.449999999</v>
      </c>
      <c r="P42" s="92"/>
      <c r="Q42" s="102">
        <f>SUM(Q4:T40)</f>
        <v>0</v>
      </c>
      <c r="R42" s="103"/>
      <c r="S42" s="103"/>
      <c r="T42" s="104"/>
      <c r="U42" s="89"/>
      <c r="V42" s="89"/>
      <c r="W42" s="91"/>
      <c r="Y42" s="122"/>
      <c r="Z42" s="74"/>
    </row>
    <row r="43" spans="2:28" ht="15.75" thickTop="1" x14ac:dyDescent="0.25">
      <c r="W43" s="74"/>
    </row>
    <row r="44" spans="2:28" hidden="1" x14ac:dyDescent="0.25">
      <c r="I44" s="83">
        <f>G42-I42-11413754.65-32580.46-738116.19</f>
        <v>2455672.7900000033</v>
      </c>
      <c r="J44" s="83"/>
      <c r="L44" s="55"/>
      <c r="M44" s="83">
        <f>11413754.65+32580.46+738116.19</f>
        <v>12184451.300000001</v>
      </c>
      <c r="N44" s="84"/>
      <c r="P44" s="55"/>
      <c r="Q44" s="55"/>
      <c r="R44" s="55"/>
      <c r="S44" s="55"/>
      <c r="T44" s="55"/>
      <c r="U44" s="55"/>
      <c r="V44" s="55"/>
      <c r="W44" s="55">
        <f>W41-400000000</f>
        <v>216883849.23000002</v>
      </c>
      <c r="Y44" s="74">
        <v>11413754.65</v>
      </c>
      <c r="Z44" t="s">
        <v>78</v>
      </c>
    </row>
    <row r="45" spans="2:28" x14ac:dyDescent="0.25">
      <c r="Y45" s="74">
        <v>32580.46</v>
      </c>
      <c r="Z45" t="s">
        <v>79</v>
      </c>
      <c r="AA45" s="74"/>
    </row>
    <row r="46" spans="2:28" x14ac:dyDescent="0.25">
      <c r="Y46" s="74">
        <v>738116.19</v>
      </c>
      <c r="Z46" t="s">
        <v>80</v>
      </c>
    </row>
    <row r="47" spans="2:28" x14ac:dyDescent="0.25">
      <c r="Y47" s="74">
        <f>Y41-Y44-Y45-Y46</f>
        <v>2455672.7900000014</v>
      </c>
      <c r="Z47" t="s">
        <v>81</v>
      </c>
    </row>
  </sheetData>
  <mergeCells count="32">
    <mergeCell ref="V2:V3"/>
    <mergeCell ref="V41:V42"/>
    <mergeCell ref="Y2:Y3"/>
    <mergeCell ref="Y41:Y42"/>
    <mergeCell ref="W2:W3"/>
    <mergeCell ref="C2:C3"/>
    <mergeCell ref="D2:D3"/>
    <mergeCell ref="B2:B3"/>
    <mergeCell ref="E2:F2"/>
    <mergeCell ref="B1:U1"/>
    <mergeCell ref="G2:H2"/>
    <mergeCell ref="I2:J2"/>
    <mergeCell ref="U2:U3"/>
    <mergeCell ref="K2:L2"/>
    <mergeCell ref="O2:P2"/>
    <mergeCell ref="M2:N2"/>
    <mergeCell ref="Q2:T2"/>
    <mergeCell ref="M44:N44"/>
    <mergeCell ref="I44:J44"/>
    <mergeCell ref="B4:B10"/>
    <mergeCell ref="U41:U42"/>
    <mergeCell ref="W41:W42"/>
    <mergeCell ref="E42:F42"/>
    <mergeCell ref="B41:D42"/>
    <mergeCell ref="G42:H42"/>
    <mergeCell ref="I42:J42"/>
    <mergeCell ref="K42:L42"/>
    <mergeCell ref="B11:B34"/>
    <mergeCell ref="B35:B40"/>
    <mergeCell ref="O42:P42"/>
    <mergeCell ref="M42:N42"/>
    <mergeCell ref="Q42:T42"/>
  </mergeCells>
  <printOptions horizontalCentered="1"/>
  <pageMargins left="0.70866141732283472" right="0.70866141732283472" top="0.39370078740157483" bottom="0.19685039370078741" header="0.31496062992125984" footer="0.31496062992125984"/>
  <pageSetup paperSize="9" scale="44" firstPageNumber="2" fitToHeight="0" orientation="landscape" useFirstPageNumber="1" r:id="rId1"/>
  <headerFooter>
    <oddFooter>&amp;LZastupitelstvo Olomouckého kraje 27. 6. 2022
8.2. - Rozpočet Olomouckého kraje 2022 - splátka úvěru na financování oprav, investic a projektů
Příloha č. 1 k DZ - přehled revolvingového úvěru&amp;RStrana &amp;P (celkem 2)</oddFooter>
  </headerFooter>
  <ignoredErrors>
    <ignoredError sqref="L6 L7:L9 M8 W14 W3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28" t="s">
        <v>25</v>
      </c>
      <c r="B1" s="128"/>
      <c r="C1" s="128"/>
      <c r="D1" s="128"/>
      <c r="E1" s="128"/>
      <c r="F1" s="128"/>
      <c r="G1" s="128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37" t="s">
        <v>0</v>
      </c>
      <c r="B4" s="139" t="s">
        <v>5</v>
      </c>
      <c r="C4" s="139" t="s">
        <v>6</v>
      </c>
      <c r="D4" s="131" t="s">
        <v>10</v>
      </c>
      <c r="E4" s="131" t="s">
        <v>1</v>
      </c>
      <c r="F4" s="135" t="s">
        <v>4</v>
      </c>
      <c r="G4" s="131" t="s">
        <v>7</v>
      </c>
      <c r="H4" s="129" t="s">
        <v>3</v>
      </c>
      <c r="I4" s="131" t="s">
        <v>9</v>
      </c>
      <c r="J4" s="131" t="s">
        <v>12</v>
      </c>
      <c r="K4" s="131" t="s">
        <v>8</v>
      </c>
      <c r="L4" s="133" t="s">
        <v>13</v>
      </c>
      <c r="M4" s="141" t="s">
        <v>14</v>
      </c>
    </row>
    <row r="5" spans="1:13" ht="39" customHeight="1" thickBot="1" x14ac:dyDescent="0.25">
      <c r="A5" s="138"/>
      <c r="B5" s="140"/>
      <c r="C5" s="140"/>
      <c r="D5" s="132"/>
      <c r="E5" s="132"/>
      <c r="F5" s="136"/>
      <c r="G5" s="132"/>
      <c r="H5" s="130"/>
      <c r="I5" s="132"/>
      <c r="J5" s="132"/>
      <c r="K5" s="132"/>
      <c r="L5" s="134"/>
      <c r="M5" s="142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25" t="s">
        <v>2</v>
      </c>
      <c r="B11" s="126"/>
      <c r="C11" s="126"/>
      <c r="D11" s="126"/>
      <c r="E11" s="126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37" t="s">
        <v>0</v>
      </c>
      <c r="B13" s="139" t="s">
        <v>5</v>
      </c>
      <c r="C13" s="139" t="s">
        <v>6</v>
      </c>
      <c r="D13" s="131" t="s">
        <v>10</v>
      </c>
      <c r="E13" s="131" t="s">
        <v>1</v>
      </c>
      <c r="F13" s="135" t="s">
        <v>4</v>
      </c>
      <c r="G13" s="131" t="s">
        <v>7</v>
      </c>
      <c r="H13" s="129" t="s">
        <v>3</v>
      </c>
      <c r="I13" s="131" t="s">
        <v>9</v>
      </c>
      <c r="J13" s="131" t="s">
        <v>12</v>
      </c>
      <c r="K13" s="131" t="s">
        <v>8</v>
      </c>
      <c r="L13" s="133" t="s">
        <v>13</v>
      </c>
      <c r="M13" s="141" t="s">
        <v>14</v>
      </c>
    </row>
    <row r="14" spans="1:13" ht="39" customHeight="1" thickBot="1" x14ac:dyDescent="0.25">
      <c r="A14" s="138"/>
      <c r="B14" s="140"/>
      <c r="C14" s="140"/>
      <c r="D14" s="132"/>
      <c r="E14" s="132"/>
      <c r="F14" s="136"/>
      <c r="G14" s="132"/>
      <c r="H14" s="130"/>
      <c r="I14" s="132"/>
      <c r="J14" s="132"/>
      <c r="K14" s="132"/>
      <c r="L14" s="134"/>
      <c r="M14" s="142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25" t="s">
        <v>26</v>
      </c>
      <c r="B19" s="126"/>
      <c r="C19" s="126"/>
      <c r="D19" s="126"/>
      <c r="E19" s="126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25" t="s">
        <v>2</v>
      </c>
      <c r="B21" s="126"/>
      <c r="C21" s="126"/>
      <c r="D21" s="126"/>
      <c r="E21" s="126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27"/>
      <c r="L22" s="127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2022-03-02T09:09:05Z</cp:lastPrinted>
  <dcterms:created xsi:type="dcterms:W3CDTF">2013-11-04T07:24:03Z</dcterms:created>
  <dcterms:modified xsi:type="dcterms:W3CDTF">2022-06-09T05:36:59Z</dcterms:modified>
</cp:coreProperties>
</file>