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1\ZOK 27.6.2022\"/>
    </mc:Choice>
  </mc:AlternateContent>
  <bookViews>
    <workbookView xWindow="480" yWindow="1200" windowWidth="15180" windowHeight="9795"/>
  </bookViews>
  <sheets>
    <sheet name="Rekapitulace" sheetId="7" r:id="rId1"/>
    <sheet name="rekapitulace PO" sheetId="15" state="hidden" r:id="rId2"/>
    <sheet name="8a) OK 2021" sheetId="8" state="hidden" r:id="rId3"/>
    <sheet name="8b) Projekty spolufinancované" sheetId="14" state="hidden" r:id="rId4"/>
    <sheet name="8c) SMN" sheetId="13" state="hidden" r:id="rId5"/>
  </sheets>
  <definedNames>
    <definedName name="_xlnm.Print_Area" localSheetId="2">'8a) OK 2021'!$A$1:$E$254</definedName>
    <definedName name="_xlnm.Print_Area" localSheetId="3">'8b) Projekty spolufinancované'!$A$1:$E$176</definedName>
    <definedName name="_xlnm.Print_Area" localSheetId="4">'8c) SMN'!$A$1:$E$20</definedName>
    <definedName name="_xlnm.Print_Area" localSheetId="0">Rekapitulace!$A$1:$D$47</definedName>
    <definedName name="_xlnm.Print_Area" localSheetId="1">'rekapitulace PO'!$A$1:$D$35</definedName>
  </definedNames>
  <calcPr calcId="162913"/>
</workbook>
</file>

<file path=xl/calcChain.xml><?xml version="1.0" encoding="utf-8"?>
<calcChain xmlns="http://schemas.openxmlformats.org/spreadsheetml/2006/main">
  <c r="L180" i="14" l="1"/>
  <c r="K180" i="14"/>
  <c r="J180" i="14"/>
  <c r="L174" i="14"/>
  <c r="K174" i="14"/>
  <c r="J174" i="14"/>
  <c r="K128" i="14"/>
  <c r="L128" i="14"/>
  <c r="J128" i="14"/>
  <c r="L126" i="14"/>
  <c r="K126" i="14"/>
  <c r="J126" i="14"/>
  <c r="D117" i="14"/>
  <c r="C117" i="14"/>
  <c r="B117" i="14"/>
  <c r="K135" i="8"/>
  <c r="L135" i="8"/>
  <c r="J135" i="8"/>
  <c r="E93" i="8"/>
  <c r="C92" i="8"/>
  <c r="D92" i="8"/>
  <c r="B92" i="8"/>
  <c r="K151" i="14"/>
  <c r="L151" i="14"/>
  <c r="J151" i="14"/>
  <c r="D7" i="13" l="1"/>
  <c r="C7" i="13"/>
  <c r="B7" i="13"/>
  <c r="C122" i="14"/>
  <c r="J19" i="13"/>
  <c r="K19" i="13"/>
  <c r="I19" i="13"/>
  <c r="K18" i="13"/>
  <c r="J18" i="13"/>
  <c r="I18" i="13"/>
  <c r="E10" i="13"/>
  <c r="B128" i="14" l="1"/>
  <c r="E122" i="14"/>
  <c r="K229" i="8"/>
  <c r="L229" i="8"/>
  <c r="J229" i="8"/>
  <c r="C206" i="8"/>
  <c r="D206" i="8"/>
  <c r="B206" i="8"/>
  <c r="E219" i="8"/>
  <c r="C216" i="8"/>
  <c r="E216" i="8" s="1"/>
  <c r="C119" i="14"/>
  <c r="E119" i="14" s="1"/>
  <c r="K127" i="14"/>
  <c r="L127" i="14"/>
  <c r="J127" i="14"/>
  <c r="E118" i="14"/>
  <c r="E123" i="14"/>
  <c r="E124" i="14"/>
  <c r="E125" i="14"/>
  <c r="B223" i="8" l="1"/>
  <c r="D169" i="8"/>
  <c r="C169" i="8"/>
  <c r="B169" i="8"/>
  <c r="C7" i="8"/>
  <c r="D7" i="8"/>
  <c r="B7" i="8"/>
  <c r="D145" i="14"/>
  <c r="D153" i="14" s="1"/>
  <c r="C145" i="14"/>
  <c r="C153" i="14" s="1"/>
  <c r="B145" i="14"/>
  <c r="B153" i="14" s="1"/>
  <c r="D134" i="14"/>
  <c r="B134" i="14"/>
  <c r="C104" i="14"/>
  <c r="B104" i="14"/>
  <c r="D89" i="14"/>
  <c r="B89" i="14"/>
  <c r="B79" i="14"/>
  <c r="D71" i="14"/>
  <c r="C71" i="14"/>
  <c r="B71" i="14"/>
  <c r="D42" i="14"/>
  <c r="C42" i="14"/>
  <c r="B42" i="14"/>
  <c r="B26" i="14"/>
  <c r="D7" i="14"/>
  <c r="C7" i="14"/>
  <c r="B7" i="14"/>
  <c r="B36" i="14" l="1"/>
  <c r="B110" i="14"/>
  <c r="B83" i="14"/>
  <c r="K152" i="14"/>
  <c r="K153" i="14" s="1"/>
  <c r="L152" i="14"/>
  <c r="L153" i="14" s="1"/>
  <c r="J152" i="14"/>
  <c r="J153" i="14" s="1"/>
  <c r="D128" i="14"/>
  <c r="C128" i="14"/>
  <c r="E29" i="14"/>
  <c r="D27" i="14"/>
  <c r="D26" i="14" s="1"/>
  <c r="D36" i="14" s="1"/>
  <c r="C27" i="14"/>
  <c r="C26" i="14" s="1"/>
  <c r="C36" i="14" s="1"/>
  <c r="D80" i="14"/>
  <c r="D79" i="14" s="1"/>
  <c r="D83" i="14" s="1"/>
  <c r="C80" i="14"/>
  <c r="C79" i="14" s="1"/>
  <c r="C83" i="14" s="1"/>
  <c r="E28" i="14"/>
  <c r="D105" i="14"/>
  <c r="D106" i="14"/>
  <c r="D104" i="14" l="1"/>
  <c r="D110" i="14" s="1"/>
  <c r="E148" i="14"/>
  <c r="C134" i="14"/>
  <c r="K138" i="14"/>
  <c r="L138" i="14"/>
  <c r="J138" i="14"/>
  <c r="K63" i="14"/>
  <c r="L63" i="14"/>
  <c r="J63" i="14"/>
  <c r="E57" i="14"/>
  <c r="L106" i="14"/>
  <c r="J106" i="14"/>
  <c r="K105" i="14"/>
  <c r="L105" i="14"/>
  <c r="J105" i="14"/>
  <c r="K81" i="14"/>
  <c r="L81" i="14"/>
  <c r="J81" i="14"/>
  <c r="K80" i="14"/>
  <c r="L80" i="14"/>
  <c r="J80" i="14"/>
  <c r="K34" i="14"/>
  <c r="L34" i="14"/>
  <c r="J34" i="14"/>
  <c r="K163" i="14"/>
  <c r="L163" i="14"/>
  <c r="J163" i="14"/>
  <c r="C159" i="14"/>
  <c r="D159" i="14"/>
  <c r="B159" i="14"/>
  <c r="K62" i="14"/>
  <c r="L62" i="14"/>
  <c r="J62" i="14"/>
  <c r="K61" i="14"/>
  <c r="L61" i="14"/>
  <c r="J61" i="14"/>
  <c r="K32" i="14"/>
  <c r="L32" i="14"/>
  <c r="J32" i="14"/>
  <c r="K33" i="14"/>
  <c r="L33" i="14"/>
  <c r="J33" i="14"/>
  <c r="J31" i="14"/>
  <c r="H12" i="14"/>
  <c r="H14" i="14"/>
  <c r="H16" i="14"/>
  <c r="H18" i="14"/>
  <c r="H20" i="14"/>
  <c r="H22" i="14"/>
  <c r="E75" i="14"/>
  <c r="E73" i="14"/>
  <c r="E55" i="14"/>
  <c r="E20" i="14"/>
  <c r="E18" i="14"/>
  <c r="K31" i="14"/>
  <c r="L31" i="14"/>
  <c r="E16" i="14"/>
  <c r="E14" i="14"/>
  <c r="E12" i="14"/>
  <c r="J173" i="14" l="1"/>
  <c r="L173" i="14"/>
  <c r="J179" i="14"/>
  <c r="B46" i="7" s="1"/>
  <c r="K173" i="14"/>
  <c r="J172" i="14"/>
  <c r="L179" i="14"/>
  <c r="D46" i="7" s="1"/>
  <c r="L172" i="14"/>
  <c r="E240" i="8"/>
  <c r="J230" i="8" l="1"/>
  <c r="B231" i="8"/>
  <c r="E224" i="8"/>
  <c r="K197" i="8"/>
  <c r="J197" i="8"/>
  <c r="L196" i="8"/>
  <c r="K196" i="8"/>
  <c r="J196" i="8"/>
  <c r="B118" i="8" l="1"/>
  <c r="J136" i="8" s="1"/>
  <c r="K84" i="8"/>
  <c r="L84" i="8"/>
  <c r="J84" i="8"/>
  <c r="E8" i="8"/>
  <c r="E58" i="14" l="1"/>
  <c r="E161" i="14"/>
  <c r="E9" i="13" l="1"/>
  <c r="E72" i="14"/>
  <c r="E74" i="14"/>
  <c r="E19" i="14"/>
  <c r="E17" i="14"/>
  <c r="E13" i="14"/>
  <c r="E11" i="14"/>
  <c r="E9" i="14"/>
  <c r="C93" i="14" l="1"/>
  <c r="C91" i="14"/>
  <c r="E100" i="14"/>
  <c r="C89" i="14" l="1"/>
  <c r="C110" i="14" s="1"/>
  <c r="K106" i="14"/>
  <c r="K179" i="14" s="1"/>
  <c r="C46" i="7" s="1"/>
  <c r="C228" i="8"/>
  <c r="D226" i="8"/>
  <c r="D223" i="8" s="1"/>
  <c r="C226" i="8"/>
  <c r="D158" i="8"/>
  <c r="C158" i="8"/>
  <c r="D126" i="8"/>
  <c r="C126" i="8"/>
  <c r="D76" i="8"/>
  <c r="C76" i="8"/>
  <c r="D122" i="8"/>
  <c r="C122" i="8"/>
  <c r="D121" i="8"/>
  <c r="C121" i="8"/>
  <c r="E119" i="8"/>
  <c r="D56" i="8"/>
  <c r="C56" i="8"/>
  <c r="D55" i="8"/>
  <c r="D50" i="8" s="1"/>
  <c r="C55" i="8"/>
  <c r="E225" i="8"/>
  <c r="E120" i="8"/>
  <c r="E70" i="8"/>
  <c r="E68" i="8"/>
  <c r="E64" i="8"/>
  <c r="E63" i="8"/>
  <c r="E62" i="8"/>
  <c r="E61" i="8"/>
  <c r="E58" i="8"/>
  <c r="E52" i="8"/>
  <c r="E51" i="8"/>
  <c r="C223" i="8" l="1"/>
  <c r="C50" i="8"/>
  <c r="K172" i="14"/>
  <c r="C231" i="8"/>
  <c r="K230" i="8"/>
  <c r="L230" i="8"/>
  <c r="D231" i="8"/>
  <c r="C118" i="8"/>
  <c r="K136" i="8" s="1"/>
  <c r="E56" i="8"/>
  <c r="D118" i="8"/>
  <c r="L136" i="8" s="1"/>
  <c r="D143" i="8"/>
  <c r="L161" i="8" s="1"/>
  <c r="C143" i="8"/>
  <c r="K161" i="8" s="1"/>
  <c r="B143" i="8"/>
  <c r="J161" i="8" s="1"/>
  <c r="E217" i="8"/>
  <c r="E215" i="8"/>
  <c r="E212" i="8"/>
  <c r="E211" i="8"/>
  <c r="K259" i="8" l="1"/>
  <c r="L259" i="8"/>
  <c r="J259" i="8"/>
  <c r="E173" i="8"/>
  <c r="E174" i="8"/>
  <c r="E176" i="8"/>
  <c r="E177" i="8"/>
  <c r="E179" i="8"/>
  <c r="E180" i="8"/>
  <c r="E182" i="8"/>
  <c r="E149" i="8"/>
  <c r="E111" i="8"/>
  <c r="E99" i="8"/>
  <c r="E94" i="8"/>
  <c r="E44" i="8"/>
  <c r="E45" i="8"/>
  <c r="E46" i="8"/>
  <c r="E47" i="8"/>
  <c r="E39" i="8"/>
  <c r="E34" i="8"/>
  <c r="E31" i="8"/>
  <c r="E28" i="8"/>
  <c r="E26" i="8"/>
  <c r="E17" i="8" l="1"/>
  <c r="E12" i="8"/>
  <c r="E10" i="8"/>
  <c r="E9" i="8"/>
  <c r="C45" i="7" l="1"/>
  <c r="D45" i="7"/>
  <c r="B45" i="7"/>
  <c r="L82" i="14"/>
  <c r="K82" i="14"/>
  <c r="J82" i="14"/>
  <c r="C34" i="15"/>
  <c r="D34" i="15"/>
  <c r="B34" i="15"/>
  <c r="L109" i="14" l="1"/>
  <c r="K109" i="14"/>
  <c r="J109" i="14"/>
  <c r="L107" i="14"/>
  <c r="K107" i="14"/>
  <c r="J107" i="14"/>
  <c r="D62" i="14"/>
  <c r="D65" i="14" s="1"/>
  <c r="C62" i="14"/>
  <c r="C65" i="14" s="1"/>
  <c r="B62" i="14"/>
  <c r="B65" i="14" s="1"/>
  <c r="D239" i="8"/>
  <c r="C239" i="8"/>
  <c r="B239" i="8"/>
  <c r="D237" i="8"/>
  <c r="C237" i="8"/>
  <c r="B237" i="8"/>
  <c r="D190" i="8"/>
  <c r="C190" i="8"/>
  <c r="B190" i="8"/>
  <c r="D155" i="8"/>
  <c r="C155" i="8"/>
  <c r="B155" i="8"/>
  <c r="B50" i="8"/>
  <c r="C163" i="8" l="1"/>
  <c r="K162" i="8"/>
  <c r="K163" i="8" s="1"/>
  <c r="D163" i="8"/>
  <c r="L162" i="8"/>
  <c r="L163" i="8" s="1"/>
  <c r="B163" i="8"/>
  <c r="J162" i="8"/>
  <c r="J163" i="8" s="1"/>
  <c r="L110" i="14"/>
  <c r="K110" i="14"/>
  <c r="J110" i="14"/>
  <c r="K35" i="14"/>
  <c r="K36" i="14" s="1"/>
  <c r="J35" i="14"/>
  <c r="J36" i="14" s="1"/>
  <c r="L35" i="14"/>
  <c r="L36" i="14" s="1"/>
  <c r="C244" i="8"/>
  <c r="B244" i="8"/>
  <c r="D244" i="8"/>
  <c r="E81" i="14"/>
  <c r="E120" i="14" l="1"/>
  <c r="E106" i="14" l="1"/>
  <c r="L83" i="14"/>
  <c r="J85" i="8"/>
  <c r="J260" i="8" s="1"/>
  <c r="B23" i="13" l="1"/>
  <c r="B24" i="13" s="1"/>
  <c r="K83" i="14"/>
  <c r="J83" i="14"/>
  <c r="D133" i="8" l="1"/>
  <c r="B133" i="8"/>
  <c r="J134" i="8" s="1"/>
  <c r="C133" i="8"/>
  <c r="C137" i="8" l="1"/>
  <c r="K134" i="8"/>
  <c r="D137" i="8"/>
  <c r="L134" i="8"/>
  <c r="B137" i="8"/>
  <c r="E134" i="8"/>
  <c r="E133" i="8"/>
  <c r="L197" i="8"/>
  <c r="K162" i="14"/>
  <c r="L162" i="14"/>
  <c r="J162" i="14"/>
  <c r="E160" i="14"/>
  <c r="D164" i="14"/>
  <c r="C164" i="14"/>
  <c r="B164" i="14"/>
  <c r="J164" i="14" l="1"/>
  <c r="K164" i="14"/>
  <c r="L164" i="14"/>
  <c r="D175" i="14"/>
  <c r="D25" i="7"/>
  <c r="D24" i="7" s="1"/>
  <c r="B175" i="14"/>
  <c r="B25" i="7"/>
  <c r="B24" i="7" s="1"/>
  <c r="C175" i="14"/>
  <c r="C25" i="7"/>
  <c r="C24" i="7" s="1"/>
  <c r="E164" i="14"/>
  <c r="E159" i="14"/>
  <c r="E175" i="14" l="1"/>
  <c r="E44" i="14" l="1"/>
  <c r="E10" i="14" l="1"/>
  <c r="E95" i="14" l="1"/>
  <c r="E93" i="14"/>
  <c r="E159" i="8"/>
  <c r="E66" i="8"/>
  <c r="E65" i="8"/>
  <c r="E183" i="8" l="1"/>
  <c r="E184" i="8"/>
  <c r="E185" i="8"/>
  <c r="E148" i="8"/>
  <c r="E150" i="8"/>
  <c r="E151" i="8"/>
  <c r="E170" i="8" l="1"/>
  <c r="E113" i="8"/>
  <c r="E112" i="8"/>
  <c r="E109" i="8"/>
  <c r="E105" i="8"/>
  <c r="E101" i="8"/>
  <c r="E40" i="8"/>
  <c r="E41" i="8"/>
  <c r="E42" i="8"/>
  <c r="E37" i="8"/>
  <c r="E32" i="8" l="1"/>
  <c r="E33" i="8"/>
  <c r="E35" i="8"/>
  <c r="E36" i="8"/>
  <c r="E14" i="8" l="1"/>
  <c r="K64" i="14" l="1"/>
  <c r="L64" i="14"/>
  <c r="J64" i="14"/>
  <c r="E63" i="14"/>
  <c r="J65" i="14" l="1"/>
  <c r="J175" i="14"/>
  <c r="L65" i="14"/>
  <c r="L175" i="14"/>
  <c r="K65" i="14"/>
  <c r="K175" i="14"/>
  <c r="J139" i="14"/>
  <c r="C9" i="15"/>
  <c r="D9" i="15"/>
  <c r="B9" i="15"/>
  <c r="J108" i="14" l="1"/>
  <c r="K108" i="14"/>
  <c r="L108" i="14"/>
  <c r="D33" i="15" l="1"/>
  <c r="L181" i="14"/>
  <c r="C33" i="15"/>
  <c r="K181" i="14"/>
  <c r="B33" i="15"/>
  <c r="J181" i="14"/>
  <c r="B44" i="7" s="1"/>
  <c r="C44" i="7"/>
  <c r="B14" i="15"/>
  <c r="L182" i="14" l="1"/>
  <c r="D44" i="7"/>
  <c r="E105" i="14"/>
  <c r="B12" i="15" l="1"/>
  <c r="C12" i="15"/>
  <c r="E80" i="14"/>
  <c r="E62" i="14"/>
  <c r="E146" i="14"/>
  <c r="E147" i="14"/>
  <c r="E121" i="14"/>
  <c r="E21" i="14"/>
  <c r="L139" i="14" l="1"/>
  <c r="K139" i="14"/>
  <c r="D12" i="15"/>
  <c r="E79" i="14"/>
  <c r="E45" i="14"/>
  <c r="E15" i="14"/>
  <c r="E99" i="14"/>
  <c r="E94" i="14" l="1"/>
  <c r="E227" i="8" l="1"/>
  <c r="E158" i="8"/>
  <c r="E126" i="8"/>
  <c r="E78" i="8"/>
  <c r="E74" i="8"/>
  <c r="E67" i="8"/>
  <c r="E156" i="8"/>
  <c r="E157" i="8"/>
  <c r="E160" i="8"/>
  <c r="E125" i="8"/>
  <c r="E124" i="8"/>
  <c r="E59" i="8"/>
  <c r="E55" i="8"/>
  <c r="E53" i="8"/>
  <c r="E8" i="13" l="1"/>
  <c r="E213" i="8" l="1"/>
  <c r="E210" i="8"/>
  <c r="E186" i="8"/>
  <c r="E147" i="8"/>
  <c r="E110" i="8"/>
  <c r="E114" i="8"/>
  <c r="E106" i="8"/>
  <c r="E107" i="8"/>
  <c r="E108" i="8"/>
  <c r="E102" i="8"/>
  <c r="K85" i="8"/>
  <c r="K260" i="8" s="1"/>
  <c r="L85" i="8"/>
  <c r="L260" i="8" s="1"/>
  <c r="D32" i="15" s="1"/>
  <c r="E30" i="8"/>
  <c r="E29" i="8" l="1"/>
  <c r="E27" i="8"/>
  <c r="E25" i="8"/>
  <c r="E24" i="8"/>
  <c r="E22" i="8" l="1"/>
  <c r="E238" i="8" l="1"/>
  <c r="J20" i="13" l="1"/>
  <c r="K20" i="13"/>
  <c r="I20" i="13"/>
  <c r="L198" i="8" l="1"/>
  <c r="K198" i="8"/>
  <c r="J198" i="8"/>
  <c r="B6" i="15"/>
  <c r="K53" i="7" l="1"/>
  <c r="I53" i="7"/>
  <c r="J182" i="14"/>
  <c r="K52" i="7"/>
  <c r="I51" i="7"/>
  <c r="I52" i="7"/>
  <c r="C8" i="15"/>
  <c r="C7" i="15" s="1"/>
  <c r="D8" i="15"/>
  <c r="D7" i="15" s="1"/>
  <c r="B8" i="15"/>
  <c r="B7" i="15" s="1"/>
  <c r="J137" i="8" l="1"/>
  <c r="G41" i="7"/>
  <c r="J199" i="8"/>
  <c r="E31" i="14"/>
  <c r="E30" i="14" l="1"/>
  <c r="E27" i="14" l="1"/>
  <c r="E32" i="14"/>
  <c r="E33" i="14"/>
  <c r="E22" i="14"/>
  <c r="C174" i="14" l="1"/>
  <c r="C23" i="7"/>
  <c r="B174" i="14"/>
  <c r="B23" i="7"/>
  <c r="D174" i="14"/>
  <c r="E174" i="14" s="1"/>
  <c r="D23" i="7"/>
  <c r="E153" i="14"/>
  <c r="E145" i="14"/>
  <c r="D22" i="7" l="1"/>
  <c r="C22" i="7"/>
  <c r="B22" i="7"/>
  <c r="J53" i="7"/>
  <c r="E52" i="14"/>
  <c r="E50" i="14"/>
  <c r="E51" i="14"/>
  <c r="E54" i="14"/>
  <c r="E56" i="14"/>
  <c r="E48" i="14" l="1"/>
  <c r="E98" i="14"/>
  <c r="J52" i="7" l="1"/>
  <c r="C15" i="15"/>
  <c r="B15" i="15"/>
  <c r="B25" i="15" s="1"/>
  <c r="D15" i="15"/>
  <c r="E91" i="14"/>
  <c r="E8" i="14"/>
  <c r="B13" i="15" l="1"/>
  <c r="J176" i="14"/>
  <c r="L199" i="8"/>
  <c r="K199" i="8"/>
  <c r="G35" i="7" l="1"/>
  <c r="G37" i="7" s="1"/>
  <c r="I50" i="7"/>
  <c r="G43" i="7"/>
  <c r="K182" i="14"/>
  <c r="J51" i="7"/>
  <c r="K176" i="14"/>
  <c r="J50" i="7"/>
  <c r="K50" i="7"/>
  <c r="L243" i="8"/>
  <c r="L262" i="8" s="1"/>
  <c r="J243" i="8"/>
  <c r="J262" i="8" s="1"/>
  <c r="G48" i="7" l="1"/>
  <c r="K51" i="7"/>
  <c r="L176" i="14"/>
  <c r="E239" i="8"/>
  <c r="K243" i="8"/>
  <c r="K262" i="8" s="1"/>
  <c r="E226" i="8"/>
  <c r="B195" i="8"/>
  <c r="B199" i="8" s="1"/>
  <c r="C195" i="8"/>
  <c r="C199" i="8" s="1"/>
  <c r="D195" i="8"/>
  <c r="D199" i="8" s="1"/>
  <c r="E196" i="8"/>
  <c r="E195" i="8" l="1"/>
  <c r="E69" i="8"/>
  <c r="E214" i="8"/>
  <c r="E208" i="8"/>
  <c r="E144" i="8" l="1"/>
  <c r="E103" i="8"/>
  <c r="E100" i="8"/>
  <c r="E20" i="8"/>
  <c r="E21" i="8"/>
  <c r="E16" i="8"/>
  <c r="E19" i="8"/>
  <c r="D6" i="15" l="1"/>
  <c r="D25" i="15" s="1"/>
  <c r="C139" i="14" l="1"/>
  <c r="B139" i="14"/>
  <c r="E97" i="14"/>
  <c r="E96" i="14"/>
  <c r="E92" i="14"/>
  <c r="E90" i="14"/>
  <c r="E46" i="14"/>
  <c r="E43" i="14"/>
  <c r="C6" i="15"/>
  <c r="C25" i="15" s="1"/>
  <c r="E15" i="8"/>
  <c r="E13" i="8"/>
  <c r="E11" i="8"/>
  <c r="E209" i="8"/>
  <c r="E207" i="8"/>
  <c r="C14" i="15"/>
  <c r="C13" i="15" s="1"/>
  <c r="D14" i="15"/>
  <c r="D13" i="15" s="1"/>
  <c r="C11" i="15"/>
  <c r="C10" i="15" s="1"/>
  <c r="D11" i="15"/>
  <c r="D10" i="15" s="1"/>
  <c r="B11" i="15"/>
  <c r="B10" i="15" s="1"/>
  <c r="D17" i="15" l="1"/>
  <c r="C17" i="15"/>
  <c r="B17" i="15"/>
  <c r="D5" i="15"/>
  <c r="D4" i="15" s="1"/>
  <c r="C5" i="15"/>
  <c r="C4" i="15" s="1"/>
  <c r="B5" i="15"/>
  <c r="B4" i="15" s="1"/>
  <c r="D139" i="14"/>
  <c r="E42" i="14"/>
  <c r="E89" i="14"/>
  <c r="E117" i="14"/>
  <c r="E206" i="8"/>
  <c r="D82" i="8"/>
  <c r="C82" i="8"/>
  <c r="B82" i="8"/>
  <c r="D15" i="13"/>
  <c r="C15" i="13"/>
  <c r="B15" i="13"/>
  <c r="B16" i="15" l="1"/>
  <c r="B18" i="15" s="1"/>
  <c r="B24" i="15"/>
  <c r="B26" i="15" s="1"/>
  <c r="C16" i="15"/>
  <c r="C18" i="15" s="1"/>
  <c r="C24" i="15"/>
  <c r="C26" i="15" s="1"/>
  <c r="D16" i="15"/>
  <c r="D24" i="15"/>
  <c r="D26" i="15" s="1"/>
  <c r="C86" i="8"/>
  <c r="C248" i="8" s="1"/>
  <c r="K83" i="8"/>
  <c r="K258" i="8" s="1"/>
  <c r="D86" i="8"/>
  <c r="L83" i="8"/>
  <c r="L258" i="8" s="1"/>
  <c r="B86" i="8"/>
  <c r="B248" i="8" s="1"/>
  <c r="J83" i="8"/>
  <c r="J258" i="8" s="1"/>
  <c r="D18" i="15"/>
  <c r="E199" i="8"/>
  <c r="K86" i="8" l="1"/>
  <c r="J86" i="8"/>
  <c r="L86" i="8"/>
  <c r="E86" i="8"/>
  <c r="C19" i="13" l="1"/>
  <c r="D19" i="13"/>
  <c r="B19" i="13"/>
  <c r="E15" i="13" l="1"/>
  <c r="K231" i="8"/>
  <c r="L231" i="8"/>
  <c r="B32" i="15" l="1"/>
  <c r="B35" i="15" s="1"/>
  <c r="J231" i="8"/>
  <c r="I54" i="7" l="1"/>
  <c r="K137" i="8"/>
  <c r="B253" i="8" l="1"/>
  <c r="L137" i="8"/>
  <c r="K48" i="7"/>
  <c r="D27" i="7"/>
  <c r="J48" i="7"/>
  <c r="C27" i="7"/>
  <c r="I48" i="7"/>
  <c r="B27" i="7"/>
  <c r="I55" i="7"/>
  <c r="J55" i="7"/>
  <c r="I47" i="7"/>
  <c r="J47" i="7"/>
  <c r="K47" i="7"/>
  <c r="B250" i="8"/>
  <c r="L242" i="8"/>
  <c r="J242" i="8"/>
  <c r="K242" i="8"/>
  <c r="B251" i="8"/>
  <c r="K46" i="7"/>
  <c r="J46" i="7"/>
  <c r="E237" i="8"/>
  <c r="D248" i="8"/>
  <c r="E129" i="8"/>
  <c r="E76" i="8"/>
  <c r="E77" i="8"/>
  <c r="E75" i="8"/>
  <c r="E71" i="8"/>
  <c r="D35" i="15" l="1"/>
  <c r="C32" i="15"/>
  <c r="C35" i="15" s="1"/>
  <c r="J261" i="8"/>
  <c r="J263" i="8" s="1"/>
  <c r="J244" i="8"/>
  <c r="K261" i="8"/>
  <c r="K244" i="8"/>
  <c r="L261" i="8"/>
  <c r="L244" i="8"/>
  <c r="J54" i="7"/>
  <c r="K54" i="7"/>
  <c r="I46" i="7"/>
  <c r="E248" i="8"/>
  <c r="L263" i="8" l="1"/>
  <c r="D43" i="7" s="1"/>
  <c r="K263" i="8"/>
  <c r="E121" i="8" l="1"/>
  <c r="E122" i="8"/>
  <c r="E123" i="8"/>
  <c r="C173" i="14" l="1"/>
  <c r="C21" i="7" s="1"/>
  <c r="B173" i="14"/>
  <c r="B21" i="7" s="1"/>
  <c r="C20" i="7" l="1"/>
  <c r="B20" i="7"/>
  <c r="E65" i="14"/>
  <c r="B171" i="14"/>
  <c r="B15" i="7" s="1"/>
  <c r="B170" i="14"/>
  <c r="B12" i="7" s="1"/>
  <c r="E107" i="14"/>
  <c r="C172" i="14"/>
  <c r="C18" i="7" s="1"/>
  <c r="D172" i="14"/>
  <c r="C169" i="14"/>
  <c r="C9" i="7" s="1"/>
  <c r="D18" i="7" l="1"/>
  <c r="E172" i="14"/>
  <c r="E71" i="14"/>
  <c r="C171" i="14"/>
  <c r="C15" i="7" s="1"/>
  <c r="C170" i="14"/>
  <c r="C12" i="7" s="1"/>
  <c r="B169" i="14"/>
  <c r="E26" i="14"/>
  <c r="E128" i="14"/>
  <c r="D169" i="14"/>
  <c r="E169" i="14" s="1"/>
  <c r="E104" i="14"/>
  <c r="B9" i="7" l="1"/>
  <c r="D9" i="7"/>
  <c r="D173" i="14"/>
  <c r="E173" i="14" s="1"/>
  <c r="E139" i="14"/>
  <c r="D170" i="14"/>
  <c r="E170" i="14" s="1"/>
  <c r="E83" i="14"/>
  <c r="D171" i="14"/>
  <c r="E110" i="14"/>
  <c r="E171" i="14" l="1"/>
  <c r="D12" i="7"/>
  <c r="D15" i="7"/>
  <c r="D21" i="7"/>
  <c r="D20" i="7" l="1"/>
  <c r="E228" i="8"/>
  <c r="E128" i="8"/>
  <c r="K55" i="7"/>
  <c r="E98" i="8" l="1"/>
  <c r="E97" i="8"/>
  <c r="B20" i="13" l="1"/>
  <c r="B19" i="7" s="1"/>
  <c r="B36" i="7" l="1"/>
  <c r="E7" i="13"/>
  <c r="C20" i="13"/>
  <c r="C19" i="7" s="1"/>
  <c r="C36" i="7" s="1"/>
  <c r="D20" i="13" l="1"/>
  <c r="D19" i="7" s="1"/>
  <c r="D36" i="7" s="1"/>
  <c r="E19" i="13"/>
  <c r="E20" i="13" l="1"/>
  <c r="E83" i="8" l="1"/>
  <c r="E191" i="8" l="1"/>
  <c r="E127" i="8" l="1"/>
  <c r="B249" i="8" l="1"/>
  <c r="I49" i="7" l="1"/>
  <c r="J49" i="7"/>
  <c r="K49" i="7"/>
  <c r="B252" i="8" l="1"/>
  <c r="B254" i="8" s="1"/>
  <c r="B17" i="7" l="1"/>
  <c r="E155" i="8" l="1"/>
  <c r="E223" i="8"/>
  <c r="E92" i="8"/>
  <c r="E143" i="8"/>
  <c r="C250" i="8"/>
  <c r="E169" i="8"/>
  <c r="E118" i="8"/>
  <c r="E163" i="8" l="1"/>
  <c r="D250" i="8"/>
  <c r="E250" i="8" s="1"/>
  <c r="E73" i="8" l="1"/>
  <c r="E60" i="8"/>
  <c r="E72" i="8" l="1"/>
  <c r="E54" i="8"/>
  <c r="E57" i="8"/>
  <c r="C252" i="8" l="1"/>
  <c r="C17" i="7" s="1"/>
  <c r="D249" i="8"/>
  <c r="C16" i="7" l="1"/>
  <c r="D251" i="8"/>
  <c r="D252" i="8" l="1"/>
  <c r="E252" i="8" s="1"/>
  <c r="E231" i="8"/>
  <c r="C251" i="8"/>
  <c r="E251" i="8" s="1"/>
  <c r="E137" i="8"/>
  <c r="C249" i="8"/>
  <c r="E249" i="8" l="1"/>
  <c r="D17" i="7"/>
  <c r="D16" i="7" l="1"/>
  <c r="K56" i="7" l="1"/>
  <c r="J56" i="7"/>
  <c r="I56" i="7"/>
  <c r="E190" i="8" l="1"/>
  <c r="E96" i="8" l="1"/>
  <c r="E95" i="8"/>
  <c r="E145" i="8" l="1"/>
  <c r="E244" i="8" l="1"/>
  <c r="C253" i="8"/>
  <c r="C254" i="8" l="1"/>
  <c r="D253" i="8"/>
  <c r="D254" i="8" s="1"/>
  <c r="E253" i="8" l="1"/>
  <c r="E82" i="8"/>
  <c r="B26" i="7" l="1"/>
  <c r="B11" i="7"/>
  <c r="B10" i="7" s="1"/>
  <c r="C14" i="7"/>
  <c r="D14" i="7"/>
  <c r="B14" i="7"/>
  <c r="E7" i="8"/>
  <c r="E50" i="8"/>
  <c r="D13" i="7" l="1"/>
  <c r="C13" i="7"/>
  <c r="B13" i="7"/>
  <c r="D5" i="7"/>
  <c r="C11" i="7"/>
  <c r="C10" i="7" s="1"/>
  <c r="C26" i="7"/>
  <c r="B5" i="7" l="1"/>
  <c r="C5" i="7"/>
  <c r="D26" i="7"/>
  <c r="D11" i="7"/>
  <c r="D10" i="7" l="1"/>
  <c r="E254" i="8"/>
  <c r="D8" i="7"/>
  <c r="D34" i="7" s="1"/>
  <c r="C8" i="7"/>
  <c r="C34" i="7" s="1"/>
  <c r="C7" i="7" l="1"/>
  <c r="D7" i="7"/>
  <c r="B8" i="7" l="1"/>
  <c r="B34" i="7" s="1"/>
  <c r="B7" i="7" l="1"/>
  <c r="B172" i="14"/>
  <c r="B18" i="7" l="1"/>
  <c r="B16" i="7" l="1"/>
  <c r="D47" i="7" l="1"/>
  <c r="B43" i="7"/>
  <c r="B47" i="7" s="1"/>
  <c r="C43" i="7"/>
  <c r="C47" i="7" s="1"/>
  <c r="B168" i="14"/>
  <c r="E7" i="14"/>
  <c r="D168" i="14"/>
  <c r="D176" i="14" s="1"/>
  <c r="C168" i="14"/>
  <c r="B176" i="14" l="1"/>
  <c r="B6" i="7"/>
  <c r="B35" i="7" s="1"/>
  <c r="E36" i="14"/>
  <c r="C176" i="14"/>
  <c r="E176" i="14" s="1"/>
  <c r="C6" i="7"/>
  <c r="C35" i="7" s="1"/>
  <c r="E168" i="14"/>
  <c r="D6" i="7"/>
  <c r="D35" i="7" s="1"/>
  <c r="B37" i="7" l="1"/>
  <c r="B4" i="7"/>
  <c r="B28" i="7" s="1"/>
  <c r="C37" i="7"/>
  <c r="C4" i="7"/>
  <c r="C28" i="7" s="1"/>
  <c r="D4" i="7"/>
  <c r="D28" i="7" s="1"/>
  <c r="D37" i="7"/>
  <c r="B52" i="7" l="1"/>
  <c r="B53" i="7" l="1"/>
</calcChain>
</file>

<file path=xl/comments1.xml><?xml version="1.0" encoding="utf-8"?>
<comments xmlns="http://schemas.openxmlformats.org/spreadsheetml/2006/main">
  <authors>
    <author>Foret Oldřich</author>
  </authors>
  <commentList>
    <comment ref="B52" authorId="0" shapeId="0">
      <text>
        <r>
          <rPr>
            <sz val="9"/>
            <color indexed="81"/>
            <rFont val="Tahoma"/>
            <family val="2"/>
            <charset val="238"/>
          </rPr>
          <t xml:space="preserve">+ Evropské programy 30, 60 - 76
- OMPSČ
</t>
        </r>
      </text>
    </comment>
  </commentList>
</comments>
</file>

<file path=xl/sharedStrings.xml><?xml version="1.0" encoding="utf-8"?>
<sst xmlns="http://schemas.openxmlformats.org/spreadsheetml/2006/main" count="908" uniqueCount="378">
  <si>
    <t>schválený rozpočet</t>
  </si>
  <si>
    <t>upravený rozpočet</t>
  </si>
  <si>
    <t>ORG</t>
  </si>
  <si>
    <t>Celkem</t>
  </si>
  <si>
    <t>skutečnost</t>
  </si>
  <si>
    <t>název akce</t>
  </si>
  <si>
    <t xml:space="preserve"> %</t>
  </si>
  <si>
    <t>oblast školství</t>
  </si>
  <si>
    <t>oblast kultury</t>
  </si>
  <si>
    <t>oblast sociální</t>
  </si>
  <si>
    <t>oblast zdravotnictví</t>
  </si>
  <si>
    <t>oblast dopravy</t>
  </si>
  <si>
    <t>Rekapitulace:</t>
  </si>
  <si>
    <t xml:space="preserve"> - oblast dopravy</t>
  </si>
  <si>
    <t xml:space="preserve"> - oblast zdravotnictví</t>
  </si>
  <si>
    <t xml:space="preserve"> - oblast sociální</t>
  </si>
  <si>
    <t xml:space="preserve"> - oblast školství</t>
  </si>
  <si>
    <t xml:space="preserve"> - oblast kultury</t>
  </si>
  <si>
    <t>v Kč</t>
  </si>
  <si>
    <t>1. Oblast školství</t>
  </si>
  <si>
    <t xml:space="preserve">Oblast školství celkem </t>
  </si>
  <si>
    <t xml:space="preserve">Oblast sociální celkem </t>
  </si>
  <si>
    <t xml:space="preserve">Oblast kultury celkem </t>
  </si>
  <si>
    <t xml:space="preserve">Oblast zdravotnictví celkem </t>
  </si>
  <si>
    <t xml:space="preserve">Oblast dopravy celkem </t>
  </si>
  <si>
    <t xml:space="preserve"> - rozpočet kraje</t>
  </si>
  <si>
    <t>oblast krajské správy</t>
  </si>
  <si>
    <t>CELKEM</t>
  </si>
  <si>
    <t xml:space="preserve">2. Oblast sociální </t>
  </si>
  <si>
    <t>b/ akce zajišťované příspěvkovými organizacemi</t>
  </si>
  <si>
    <t xml:space="preserve">5. Oblast zdravotnictví </t>
  </si>
  <si>
    <t>oblast zdravotnictví - nájemné NOK</t>
  </si>
  <si>
    <t>ORJ 17</t>
  </si>
  <si>
    <t>PO</t>
  </si>
  <si>
    <t>ORJ 04</t>
  </si>
  <si>
    <t>ORJ 59</t>
  </si>
  <si>
    <t>Vypořádání staveb po jejich dokončení z minulých let - výkupy pozemků a jiné</t>
  </si>
  <si>
    <t>ORJ 50</t>
  </si>
  <si>
    <t>Orj 03</t>
  </si>
  <si>
    <t>ORJ 52</t>
  </si>
  <si>
    <t>akce zajišťované příslušnými odbory</t>
  </si>
  <si>
    <t>kř. II/367 - Tovačov</t>
  </si>
  <si>
    <t>Přerov - Doloplazy - kř. II/437</t>
  </si>
  <si>
    <t>ORJ 50, UZ 88x</t>
  </si>
  <si>
    <t>b/ akce zajišťované Správou silnic Olomouckého kraje (ORG 1600)</t>
  </si>
  <si>
    <t>UZ 12</t>
  </si>
  <si>
    <t xml:space="preserve"> - investiční výdaje odborů</t>
  </si>
  <si>
    <t>3. Oblast kultury</t>
  </si>
  <si>
    <t>4. Oblast dopravy</t>
  </si>
  <si>
    <t>Leština - Hrabišín</t>
  </si>
  <si>
    <t>hr.okr.Ustí nad O - křiž. II/446 před Hanušovicemi</t>
  </si>
  <si>
    <t>6. Oblast cestovního ruchu</t>
  </si>
  <si>
    <t>Oblast cestovního ruchu</t>
  </si>
  <si>
    <t>Oblast cestovního ruchu celkem</t>
  </si>
  <si>
    <t xml:space="preserve"> - oblast cestovního ruchu</t>
  </si>
  <si>
    <t>oblast cestovního ruchu</t>
  </si>
  <si>
    <t>odbor kancelář ředitele</t>
  </si>
  <si>
    <t>1656</t>
  </si>
  <si>
    <t>100824</t>
  </si>
  <si>
    <t>Bezbariérový přístup do SPŠ Hranice a rekonstrukce chemické laboratoře</t>
  </si>
  <si>
    <t>Modernizace učeben a vybavení pro odborný výcvik (Střední škola gastronomie a farmářství Jeseník, pracoviště Horní Heřmanice)</t>
  </si>
  <si>
    <t>Domov důchodců Prostějov - Modernizace sociálních zařízení</t>
  </si>
  <si>
    <t>Vincentinum Šternberk, příspěvková organizace – rekonstrukce budovy ve Vikýřovicích</t>
  </si>
  <si>
    <t>Vypořádání staveb po jejich dokončení z minul. let - výkupy pozemků a jiné</t>
  </si>
  <si>
    <t xml:space="preserve">Štěpánov, křižovatka Březecká </t>
  </si>
  <si>
    <t>Štarnov - průtah</t>
  </si>
  <si>
    <t xml:space="preserve">Zvýšení přeshraniční dostupnosti Hanušovice – Stronie Ślaskie </t>
  </si>
  <si>
    <t>ZZS OK  - Čerpací stanice pro heliport Olomouc</t>
  </si>
  <si>
    <t>Zdravotnická záchranná služba OK - výstavba dvougaráže výjezdové základny v Hanušovicích</t>
  </si>
  <si>
    <t>SMN a.s. - o.z. Nemocnice Šternberk - Interní pavilon</t>
  </si>
  <si>
    <t>1642</t>
  </si>
  <si>
    <t>1657</t>
  </si>
  <si>
    <t>1661</t>
  </si>
  <si>
    <t>1663</t>
  </si>
  <si>
    <t>100130 + 000000</t>
  </si>
  <si>
    <t xml:space="preserve">a) Financováno z rozpočtu Olomouckého kraje </t>
  </si>
  <si>
    <t>101192</t>
  </si>
  <si>
    <t>101201</t>
  </si>
  <si>
    <t>a) akce zajišťované odborem investic</t>
  </si>
  <si>
    <t>c) SMN</t>
  </si>
  <si>
    <t>PO, ORJ 12</t>
  </si>
  <si>
    <t>Domov pro seniory Červenka - Nadstavba a přístavba hospodářské budovy</t>
  </si>
  <si>
    <t>Domov Na zámečku Rokytnice - Půdní vestavba</t>
  </si>
  <si>
    <t xml:space="preserve">Klíč – centrum sociálních služeb - Výstavba objektu pro osoby s poruchou autistického spektra </t>
  </si>
  <si>
    <t>a) akce zajišťované odborem investic a odborem strategického rozvoje kraje</t>
  </si>
  <si>
    <t>Realizace energeticky úsporných opatření - SPŠ Hranice</t>
  </si>
  <si>
    <t>ORJ 52, UZ 88x</t>
  </si>
  <si>
    <t>Švehlova střední škola polytechnická Prostějov – Centrum odborné přípravy pro obory polytechnického zaměření</t>
  </si>
  <si>
    <t>Transformace příspěvkové organizace Nové Zámky – poskytovatel sociálních služeb - III. Etapa</t>
  </si>
  <si>
    <t>Transformace příspěvkové organizace Nové Zámky – poskytovatel sociálních služeb - IV. Etapa</t>
  </si>
  <si>
    <t>Ohrozim - obchvat</t>
  </si>
  <si>
    <t>Prostějov - přeložka silnice II/366 od Tesca</t>
  </si>
  <si>
    <t>Mohelnice - křížení s železniční tratí</t>
  </si>
  <si>
    <t>II/449 MÚK Unčovice - Litovel</t>
  </si>
  <si>
    <t>II/150 Prostějov - Přerov</t>
  </si>
  <si>
    <t>II/570 Slatinice - Olomouc</t>
  </si>
  <si>
    <t>II/150 hr. kraje - Prostějov</t>
  </si>
  <si>
    <t>II/150 Přerov - jihozápadní obchvat, přeložka</t>
  </si>
  <si>
    <t>ZZS OK - Výstavba nových výjezdových základen - Uničov</t>
  </si>
  <si>
    <t>ZZS OK - Výstavba nových výjezdových základen – Jeseník</t>
  </si>
  <si>
    <t xml:space="preserve"> - SMN</t>
  </si>
  <si>
    <t>Orj 18</t>
  </si>
  <si>
    <t>PO, UZ 11, POL 5331</t>
  </si>
  <si>
    <t>PO, UZ 11, POL 6351</t>
  </si>
  <si>
    <t>1640</t>
  </si>
  <si>
    <t>1654</t>
  </si>
  <si>
    <t>1659</t>
  </si>
  <si>
    <t>PO, UZ 13, POL 5331</t>
  </si>
  <si>
    <t>PO, UZ 13, POL 6351</t>
  </si>
  <si>
    <t>Účelové dotace</t>
  </si>
  <si>
    <t>Orj 01</t>
  </si>
  <si>
    <t>Zapojení KB</t>
  </si>
  <si>
    <t>RU - Skutečnost</t>
  </si>
  <si>
    <t>akce zajišťované odborem investic</t>
  </si>
  <si>
    <t>c) akce zajišťované odborem majetkovým, právním a správních činností</t>
  </si>
  <si>
    <t>Investiční výdaje odborů celkem</t>
  </si>
  <si>
    <t xml:space="preserve">Oblast zdravotnictví </t>
  </si>
  <si>
    <t>SMN</t>
  </si>
  <si>
    <t xml:space="preserve"> - projekty spolufinancované</t>
  </si>
  <si>
    <t>b) Projekty spolufinancované z evropských a národních fondů</t>
  </si>
  <si>
    <t xml:space="preserve">Rekapitulace dle financovaných oblastí: </t>
  </si>
  <si>
    <t>akce hrazené z rozpočtu OK</t>
  </si>
  <si>
    <t>projekty spolufinancované z EF a NF</t>
  </si>
  <si>
    <t>akce hrazené z nájemného SMN</t>
  </si>
  <si>
    <t xml:space="preserve">Rekapitulace dle zdrojů financování: </t>
  </si>
  <si>
    <t>hrazené z rozpočtu OK</t>
  </si>
  <si>
    <t>hrazené z účelových dotací</t>
  </si>
  <si>
    <t>101299</t>
  </si>
  <si>
    <t>101300</t>
  </si>
  <si>
    <t>101327</t>
  </si>
  <si>
    <t>101348</t>
  </si>
  <si>
    <t>101349</t>
  </si>
  <si>
    <t>1631</t>
  </si>
  <si>
    <t>PO, Pol 6351</t>
  </si>
  <si>
    <t>ORJ 6</t>
  </si>
  <si>
    <t>odbor informačních technologií</t>
  </si>
  <si>
    <t>Orj 06</t>
  </si>
  <si>
    <t>Střední zdravotnická škola, Nová 1820, Hranice - Stavební úpravy kuchyně</t>
  </si>
  <si>
    <t>Střední škola gastronomie a farmářství Jeseník - Pracoviště odborného výcviku cukrárny a pekány</t>
  </si>
  <si>
    <t>Střední škola železniční, technická a služeb, Šumperk - dílny</t>
  </si>
  <si>
    <t>Střední škola gastronomie a farmářství Jeseník - Rekonstrukce umýváren starého domova mládeže</t>
  </si>
  <si>
    <t>Švehlova střední škola polytechnická, Prostějov – rekonstrukce stravovacího provozu</t>
  </si>
  <si>
    <t xml:space="preserve">Domov "Na Zámku“, příspěvková organizace - Vybudování výtahu </t>
  </si>
  <si>
    <t>Domov Alfreda Skeneho Pavlovice u Přerova, příspěvková organizace - Stavební úpravy pokojů a sociálních zařízení – budova Marie</t>
  </si>
  <si>
    <t>Domov Alfreda Skeneho Pavlovice u Přerova, příspěvková organizace - Stavební úpravy pokojů a sociálních zařízení – budova Zámku</t>
  </si>
  <si>
    <t>Transformace příspěvkové organizace Nové Zámky – poskytovatel sociálních služeb - V.etapa -  novostavba RD Medlov – Králová</t>
  </si>
  <si>
    <t>Transformace příspěvkové organizace Nové Zámky – poskytovatel sociálních služeb - V.etapa -  novostavba RD Náměšť na Hané</t>
  </si>
  <si>
    <t>Dětské centrum Ostrůvek - Přestavba budovy C na zařízení rodinného typu</t>
  </si>
  <si>
    <t>Odborný léčebný ústav, Paseka  - Modernizace lůžkového fondu pavilonu A</t>
  </si>
  <si>
    <t>Gymnázium, Horní náměstí 5,  Šternberk</t>
  </si>
  <si>
    <t>Střední škola zemědělská, Přerov I – Město, Osmek 367/47</t>
  </si>
  <si>
    <t>Střední škola sociální péče a služeb, nám. 8. května č. 2, Zábřeh</t>
  </si>
  <si>
    <t>Střední odborná škola, Zemědělská 3, Šumperk</t>
  </si>
  <si>
    <t>Střední zdravotnická škola a Vyšší odborná škola zdravotnická Emanuela Pöttinga a Jazyková škola s právem státní jazykové zkoušky, Pöttingova 2, Olomouc</t>
  </si>
  <si>
    <t>Střední odborná škola lesnická a strojírenská, Opavská 8, Šternberk</t>
  </si>
  <si>
    <t>Střední škola gastronomie a farmářství, U Jatek 916/8, Jeseník</t>
  </si>
  <si>
    <t>Klíč - centrum sociálních služeb, Dolní hejčínská 50/28, Olomouc</t>
  </si>
  <si>
    <t>Nové Zámky - poskytovatel sociálních služeb, Nové Zámky 2, Litovel</t>
  </si>
  <si>
    <t>Domov "Na Zámku", nám. děkana Františka Kvapila 17, Nezamyslice</t>
  </si>
  <si>
    <t>Centrum sociálních služeb, Lidická 86, Prostějov</t>
  </si>
  <si>
    <t>Domov pro seniory, Radkova Lhota 16, Dřevohostice</t>
  </si>
  <si>
    <t>Vincentinum - poskytovatel sociálních služeb Šternberk, Sadová 7, Šternberk</t>
  </si>
  <si>
    <t>Domov pro seniory Tovačov, Nádražní 94, Tovačov I-Město</t>
  </si>
  <si>
    <t>Domov Na zámečku Rokytnice, U Rybníčka 1, Rokytnice</t>
  </si>
  <si>
    <t>Vlastivědné muzeum v Olomouci, nám. Republiky 5/6, Olomouc</t>
  </si>
  <si>
    <t>Vlastivědné muzeum Jesenicka, příspěvková organizace, Zámecké nám. 1, Jeseník</t>
  </si>
  <si>
    <t>Muzeum a galerie v Prostějově, příspěvková organizace, nám. T.G. Masaryka 2, Prostějov</t>
  </si>
  <si>
    <t>Muzeum Komenského v Přerově, příspěvková organizace, Horní náměstí 7, Přerov</t>
  </si>
  <si>
    <t>Správa silnic Olomouckého kraje, Lipenská 120, Olomouc</t>
  </si>
  <si>
    <t>Odborný léčebný ústav, Paseka 145</t>
  </si>
  <si>
    <t>Zdravotnická záchranná služba Olomouckého kraje, Aksamitova 8, Olomouc</t>
  </si>
  <si>
    <t>Šternberk – průtah</t>
  </si>
  <si>
    <t>II/448 Olomouc - přeložka silnice (I. a II. etapa)</t>
  </si>
  <si>
    <t>101343</t>
  </si>
  <si>
    <t>akce zajišťované odborem strategického rozvoje kraje</t>
  </si>
  <si>
    <t>Oblast životního prostředí</t>
  </si>
  <si>
    <t>Oblast životního prostředí celkem</t>
  </si>
  <si>
    <t xml:space="preserve"> - oblast životního prostředí</t>
  </si>
  <si>
    <t>akce zajišťované odborem investic a odborem strategického rozvoje kraje</t>
  </si>
  <si>
    <r>
      <t>Rozpočet OK</t>
    </r>
    <r>
      <rPr>
        <b/>
        <sz val="8"/>
        <rFont val="Arial"/>
        <family val="2"/>
        <charset val="238"/>
      </rPr>
      <t xml:space="preserve"> (bez dotace)</t>
    </r>
  </si>
  <si>
    <t>PPF</t>
  </si>
  <si>
    <t>Zapojení PPF</t>
  </si>
  <si>
    <t>Úvěr KB (100 mil. Kč)</t>
  </si>
  <si>
    <t>REÚO – OA Mohelnice – budovy internátu a jídelna</t>
  </si>
  <si>
    <t>PPP a SPC Olomouckého kraje - zvýšení kvality služeb a kapacity centra - PPP Jeseník</t>
  </si>
  <si>
    <t>Transformace příspěvkové organizace Nové Zámky – poskytovatel sociálních služeb - III.etapa - RD Litovel, ul. Pavlínka 1141</t>
  </si>
  <si>
    <t xml:space="preserve">Transformace příspěvkové organizace Nové Zámky – poskytovatel sociálních služeb - III.etapa - RD Červenka 338, </t>
  </si>
  <si>
    <t xml:space="preserve">Transformace příspěvkové organizace Nové Zámky – poskytovatel sociálních služeb - III.etapa - RD Červenka 361, </t>
  </si>
  <si>
    <t>Transformace příspěvkové organizace Nové Zámky – poskytovatel sociálních služeb - III.etapa - Litovel, Rybníček 44</t>
  </si>
  <si>
    <t>Transformace příspěvkové organizace Nové Zámky – poskytovatel sociálních služeb - III.etapa - Litovel, Rybníček 45</t>
  </si>
  <si>
    <t>Transformace příspěvkové organizace Nové Zámky – poskytovatel sociálních služeb - IV.etapa - novostavba RD Zábřeh, Malá Strana</t>
  </si>
  <si>
    <t>Střední škola zemědělská a zahradnická, U Hradiska 4, Olomouc</t>
  </si>
  <si>
    <t>oblast životního prostředí</t>
  </si>
  <si>
    <t>101167</t>
  </si>
  <si>
    <t>101337</t>
  </si>
  <si>
    <t>101405</t>
  </si>
  <si>
    <t>101406</t>
  </si>
  <si>
    <t>101408</t>
  </si>
  <si>
    <t>101410</t>
  </si>
  <si>
    <t>101413</t>
  </si>
  <si>
    <t>101415</t>
  </si>
  <si>
    <t>1637</t>
  </si>
  <si>
    <t>Střední průmyslová škola Jeseník, Dukelská 1240 - Kotelna v areálu dílen odborné výuky</t>
  </si>
  <si>
    <t>Střední škola gastronomie a farmářství Jeseník - Rekonstrukce kotelny</t>
  </si>
  <si>
    <t>Základní škola a Mateřská škola logopedická Olomouc -  Koridor školy a átrium</t>
  </si>
  <si>
    <t>Základní škola Šternberk, Olomoucká 76 - Zateplení budovy a instalace řízeného větrání - a) zateplení</t>
  </si>
  <si>
    <t xml:space="preserve">Střední odborná škola obchodu a služeb, Olomouc, Štursova 14 - Rekonstrukce sportovního areálu </t>
  </si>
  <si>
    <t>Gymnázium, Kojetín, Svatopluka Čecha 683 - Školní hřiště</t>
  </si>
  <si>
    <t>Střední škola gastronomie a služeb, Přerov, Šířava 7 - Školní hřiště</t>
  </si>
  <si>
    <t>Střední škola, Základní škola a Mateřská škola Šumperk, Hanácká 3 - Rekonstrukce elektroinstalace</t>
  </si>
  <si>
    <t xml:space="preserve">Střední škola, Základní škola, Mateřská škola a Dětský domov Zábřeh - Vybudování sportovního hřiště </t>
  </si>
  <si>
    <t>Střední zdravotnická škola, Šumperk, Kladská 2 - Domov mládeže</t>
  </si>
  <si>
    <t>Střední škola technická a zemědělská Mohelnice - Výstavba nových dílen</t>
  </si>
  <si>
    <t>Transformace příspěvkové organizace Nové Zámky - poskytovatel sociálních služeb - II.etapa - novostavba RD Drahanovice</t>
  </si>
  <si>
    <t>Centrum sociálních služeb Prostějov, p.o. - Výměna výtahu SO-02</t>
  </si>
  <si>
    <t>Centrum Dominika Kokory, příspěvková organizace - Přístupová cesta na zahradu</t>
  </si>
  <si>
    <t>Domov pro seniory Červenka, příspěvková organizace - Přístavba - oddělení Litovel</t>
  </si>
  <si>
    <t xml:space="preserve">Domov Větrný mlýn Skalička, příspěvková organizace - Opravy stropů </t>
  </si>
  <si>
    <t>Domov Štíty-Jedlí, příspěvková organizace - Rekonstrukce a přístavba Domova Štíty</t>
  </si>
  <si>
    <t>Domov pro seniory Javorník - Novostavba Kobylá nad Vidnávkou</t>
  </si>
  <si>
    <t>Cyklostezky Olomouckého kraje - 06 Horní Lipová - Ramzová - Ostružná</t>
  </si>
  <si>
    <t>ORJ 59, UZ 88x</t>
  </si>
  <si>
    <t>ORJ 12, UZ 88x</t>
  </si>
  <si>
    <t>PPP a SPC Olomouckého kraje - zvýšení kvality služeb a kapacity centra - SPC Mohelnice</t>
  </si>
  <si>
    <t>PPP a SPC Olomouckého kraje - zvýšení kvality služeb a kapacity centra - SPC Prostějov</t>
  </si>
  <si>
    <t>PPP a SPC Olomouckého kraje - zvýšení kvality služeb a kapacity centra - PPP Přerov</t>
  </si>
  <si>
    <t>PPP a SPC Olomouckého kraje - zvýšení kvality služeb a kapacity centra - PPP Šumperk</t>
  </si>
  <si>
    <t>Pořízení strojního vybavení a zajištění bezbariérovosti na OU a PrŠ Lipová-lázně</t>
  </si>
  <si>
    <t>Podpora biodiverzity v Olomouckém kraji - péče o vybrané evropsky významné lokality</t>
  </si>
  <si>
    <t>Hospodaření se srážkovými vodami v intravilánu příspěvkových organizací Olomouckého kraje III</t>
  </si>
  <si>
    <t>Slovanské gymnázium, tř. J. z Poděbrad 13,  Olomouc</t>
  </si>
  <si>
    <t>Gymnázium Jiřího Wolkera, Kollárova 3,  Prostějov</t>
  </si>
  <si>
    <t>Obchodní akademie, tř. Spojenců 11, Olomouc</t>
  </si>
  <si>
    <t>Střední škola, Základní škola a Mateřská škola Lipník nad Bečvou, Osecká 301</t>
  </si>
  <si>
    <t>Střední odborná škola, Komenského 677, Litovel</t>
  </si>
  <si>
    <t>Dětský domov Šance, U sportovní haly 1a/544, Olomouc</t>
  </si>
  <si>
    <t>Domov  Hrubá Voda, Hrubá Voda  11, Hlubočky</t>
  </si>
  <si>
    <t>Dětské centrum Ostrůvek, U dětského domova 269, Olomouc</t>
  </si>
  <si>
    <t>Transformace příspěvkové organizace Nové Zámky - poskytovatel sociálních služeb - II.etapa - novostavba RD Měrotín</t>
  </si>
  <si>
    <t>bez DPH</t>
  </si>
  <si>
    <t>ORJ 19 UZ 123</t>
  </si>
  <si>
    <t>101461</t>
  </si>
  <si>
    <t>101462</t>
  </si>
  <si>
    <t>101463</t>
  </si>
  <si>
    <t>Oblast územního plánování celkem</t>
  </si>
  <si>
    <t xml:space="preserve"> - oblast územního plánování</t>
  </si>
  <si>
    <t>Oblast územního plánování</t>
  </si>
  <si>
    <t>ORJ 3</t>
  </si>
  <si>
    <t>ORJ 03</t>
  </si>
  <si>
    <t>ORJ 06</t>
  </si>
  <si>
    <t>Střední škola technická a obchodní, Olomouc, Kosinova 4 – Centrum odborné přípravy technických oborů (COPTO)</t>
  </si>
  <si>
    <t>Hotelová škola Vincenze Priessnitze a Obchodní akademie Jeseník - Odizolvání obvodu  budovy "Staré školy"</t>
  </si>
  <si>
    <t>Střední škola zemědělská a zahradnická, Olomouc, U Hradiska 4 - Rekonstrukce toalet</t>
  </si>
  <si>
    <t>Gymnázium Jana Blahoslava a Střední pedagogická škola, Přerov, Denisova 3 - Rekonstrukce elektroinstalace na budově SPgŠ</t>
  </si>
  <si>
    <t>ORG 60001101469 Dětský domov a Školní jídelna, Plumlov, Balkán 333 – střecha DD</t>
  </si>
  <si>
    <t>Střední lesnická škola, Hranice, Jurikova 588 - výměna oken na staré budově</t>
  </si>
  <si>
    <t>REÚO – SPŠ Hranice - Internát</t>
  </si>
  <si>
    <t>Domov Sněženka Jeseník - Vybudování 6 nových pokojů – 2. etapa</t>
  </si>
  <si>
    <t>CSS Prostějov - Nová budova domova pro seniory</t>
  </si>
  <si>
    <t>Domov Větrný mlýn Skalička - Revitalizace rybníka</t>
  </si>
  <si>
    <t>Vlastivědné muzeum Jesenicka - Rekonstrukce Vodní tvrze</t>
  </si>
  <si>
    <t>Muzeum Komenského v Přerově - stavební úpravy depozitáře knihovny v budově Horní nám.č.35, Přerov</t>
  </si>
  <si>
    <t>Vlastivědné muzeum Jesenicka - statické zabezpečení vodní tvrze</t>
  </si>
  <si>
    <t>Vlastivědné muzeum v Olomouci - Rekonstrukce krovů v budově VMO a oprava římsy nad parkánem</t>
  </si>
  <si>
    <t>Vědecká knihovna v Olomouci - stavební úpravy objektu Červeného kostela</t>
  </si>
  <si>
    <t>Vlastivědné muzeum v Olomouci – statické zajištění depozitáře v Denisově ulici</t>
  </si>
  <si>
    <t>Cyklostezky Olomouckého kraje – 12.04 Spojnice Zábřeh-Lesnice (III-3701) až spojnice Zábřeh-Leština (II-315)</t>
  </si>
  <si>
    <t>II/366 Prostějov - přeložka silnice - 2. etapa</t>
  </si>
  <si>
    <t>II/366 Prostějov - okružní křižovatka,</t>
  </si>
  <si>
    <t>II/488 Olomouc - přeložka silnice  - I. etapa</t>
  </si>
  <si>
    <t>Hospodaření se srážkovými vodami v intravilánu příspěvkových organizací Olomouckého kraje II</t>
  </si>
  <si>
    <t>Digitální technická mapa</t>
  </si>
  <si>
    <t>oblast územního plánování</t>
  </si>
  <si>
    <t>SFDI</t>
  </si>
  <si>
    <t>Schválený rozpočet</t>
  </si>
  <si>
    <t>Dětský domov a Školní jídelna, Tyršova 772, Lipník nad Bečvou</t>
  </si>
  <si>
    <r>
      <t xml:space="preserve">ORJ 12, </t>
    </r>
    <r>
      <rPr>
        <b/>
        <sz val="10"/>
        <color rgb="FF0070C0"/>
        <rFont val="Arial"/>
        <family val="2"/>
        <charset val="238"/>
      </rPr>
      <t>UZ 107117968, 107517969</t>
    </r>
  </si>
  <si>
    <r>
      <t>ORJ 12,</t>
    </r>
    <r>
      <rPr>
        <b/>
        <sz val="10"/>
        <color rgb="FF0070C0"/>
        <rFont val="Arial"/>
        <family val="2"/>
        <charset val="238"/>
      </rPr>
      <t xml:space="preserve"> SFDI UZ 91252 a 91628 (Pol 5336 a 6356)</t>
    </r>
  </si>
  <si>
    <t>hrazené z účelových dotací - SFDI</t>
  </si>
  <si>
    <t>ORJ 59, UZ 106515011 - předfinancování rozpočet</t>
  </si>
  <si>
    <t>8. Přehled financování oprav a investic v roce 2021</t>
  </si>
  <si>
    <t>Opravy a investice Olomouckého kraje 2021</t>
  </si>
  <si>
    <t>100753</t>
  </si>
  <si>
    <t>101426</t>
  </si>
  <si>
    <t>Odkupy pozemků</t>
  </si>
  <si>
    <t xml:space="preserve">Odkup pozemku </t>
  </si>
  <si>
    <t>1636</t>
  </si>
  <si>
    <t>PO, UZ 10, POL 5331</t>
  </si>
  <si>
    <t>PO, UZ 10, POL 6351</t>
  </si>
  <si>
    <t>PO, UZ 14, POL 6351</t>
  </si>
  <si>
    <t>PO, UZ 14, POL 5331</t>
  </si>
  <si>
    <t>ORJ 50, UZ 818, 819, 820 a 821</t>
  </si>
  <si>
    <t>ORJ 52, UZ 818</t>
  </si>
  <si>
    <t>ORJ 52, UZ 17, 23, 884</t>
  </si>
  <si>
    <t>ORJ 52, UZ 884</t>
  </si>
  <si>
    <t>ORJ 52, UZ 23, 884</t>
  </si>
  <si>
    <t>SMN a.s. - o.z. Nemocnice Přerov - Rozšíření parkovací kapacity - 1. etapa</t>
  </si>
  <si>
    <t>SMN a.s. - o.z. Nemocnice Šternberk - Teplovod</t>
  </si>
  <si>
    <t>SMN a.s. - o.z. Nemocnice Šternberk - Magnetická rezonance - a) zateplení</t>
  </si>
  <si>
    <t>SMN a.s. - o.z. Nemocnice Přerov - urgentní příjem</t>
  </si>
  <si>
    <t>SMN a.s. - o.z. Nemocnice Prostějov - urgentní příjem</t>
  </si>
  <si>
    <t>SMN a.s. - o.z. Nemocnice Šternberk - urgentní příjem</t>
  </si>
  <si>
    <t>ORJ 59, UZ 818, 819</t>
  </si>
  <si>
    <t>101505</t>
  </si>
  <si>
    <t>Správní poplatky</t>
  </si>
  <si>
    <t xml:space="preserve">Bezbariérové úpravy školských zařízení v Olomouckém kraji - Obchodní akademie Olomouc </t>
  </si>
  <si>
    <t>Střední škola řezbářská, Tovačov, Nádražní 146 - Centrum odborné přípravy pro obory řezbářství</t>
  </si>
  <si>
    <t>Střední průmyslová škola, Přerov, Havlíčkova 2 - Rekonstrukce dílen praktického vyučování</t>
  </si>
  <si>
    <t>Dětský domov a Školní jídelna, Plumlov, Balkán 333 - Sanace vlhkého zdiva</t>
  </si>
  <si>
    <t>Základní škola Uničov, Šternberská 35 - Rekonstrukce střechy</t>
  </si>
  <si>
    <t>Střední odborná škola lesnická a strojírenská Šternberk - Realizace úsporných opatření budov Opavská 8</t>
  </si>
  <si>
    <t>Gymnázium Jana Blahoslava a Střední pedagogická škola, Přerov, Denisova 3 - Rekonstrukce venkovního sportovního areálu</t>
  </si>
  <si>
    <t xml:space="preserve">Gymnázium, Šumperk, Masarykovo náměstí 8 - Plynová kotelna </t>
  </si>
  <si>
    <t>Střední škola logistiky a chemie, Olomouc, U Hradiska 29 - Rekonstrukce dvou odborných učeben - laboratoře pro výuku oboru Aplikovaná chemie</t>
  </si>
  <si>
    <t>Střední průmyslová škola Jeseník, Dukelská 1240 - stavební úpravy prostor pro výuku žáku a SVP</t>
  </si>
  <si>
    <t>Střední škola technická  a obchodní, Olomouc, Kosinova 4 - Fasáda světlíku</t>
  </si>
  <si>
    <t>Gymnázium Olomouc, Čajkovského - oprava střechy sportovní haly</t>
  </si>
  <si>
    <t>Střední škola technická a zemědělská Mohelnice - opravy střech objektů dílen</t>
  </si>
  <si>
    <t>Propojení a výměna zdravotnických dat pacientů mezi Zdravotnickou záchrannou službou Olomouckého kraje a poskytovateli zdravotních služeb</t>
  </si>
  <si>
    <t>Muzeum a galerie v Prostějově - Oprava střechy Lidická</t>
  </si>
  <si>
    <t>Vlastivědné muzeum v Olomouci - Úprava nádvoří VMO, včetně kanalizace</t>
  </si>
  <si>
    <t>Centrum Dominika Kokory, příspěvková organizace - Celková rekonstrukce plynofikovaných NTK - Dřevohostice</t>
  </si>
  <si>
    <t>Domov seniorů POHODA Chválkovice - Vybudování nového evakuačního výtahu v pavilonu B a v DS</t>
  </si>
  <si>
    <t>ZZS OK - Výstavba nových výjezdových základen - Šternberk</t>
  </si>
  <si>
    <t>ZZS OK - Výstavba nových výjezdových základen - Zábřeh</t>
  </si>
  <si>
    <t>ZZS OK - Výstavba nových výjezdových základen - Prostějov</t>
  </si>
  <si>
    <t>ZZS OK - Výstavba nových výjezdových základen - Javorník</t>
  </si>
  <si>
    <t>ZZS OK - vzdělávací a výcvikové středisko - Olomouc (Hněvotínská)</t>
  </si>
  <si>
    <t>PO, UZ 14, POL 6111</t>
  </si>
  <si>
    <t>ORJ 52, UZ 14</t>
  </si>
  <si>
    <t>ORJ 17, UZ 14, 23</t>
  </si>
  <si>
    <t xml:space="preserve"> - Výměna oken, fasáda - projekt, Výměna rozvodů, zásuvek včetně rozšíření (datová síť 15. NP RCO), montáž příčky v pronajatých NP budovy RCO, montáž el. zásuvek pro výzdobu pláště budovy KÚOK, výměna kamerového systému, výměna dataprojektoru a plátna, instalace videokonferenčního systému v zasedací místnosti v 10. NP</t>
  </si>
  <si>
    <t xml:space="preserve"> - Micro station, bentley systems, sw na privilegované účty – sledování, technické zhodnocení DNHM, Obnova serverů pro virtualizaci, WIFI v budově OK, expanze diskového pole IBM Storwize V7000, pořízení bateriových bloků do záložního zdroje UPS , pořízení notebooků, pořízení switchů, pořízení serveru</t>
  </si>
  <si>
    <t>6. Investiční výdaje odborů</t>
  </si>
  <si>
    <t>Přehled financování oprav a investic PO v roce 2021</t>
  </si>
  <si>
    <t>ORJ 52, UZ 818, 819</t>
  </si>
  <si>
    <t>Střední škola technická a obchodní, Olomouc, Kosinova 4 - Centrum odborné přípravy technických oborů (COPTO)</t>
  </si>
  <si>
    <t>Pořízení vozidel pro poskytovatele sociálních služeb v Olomouckém kraji</t>
  </si>
  <si>
    <t xml:space="preserve">Muzeum a galerie v Prostějově - Přístavba depozitáře </t>
  </si>
  <si>
    <t>Muzeum Komenského v Přerově - rekonstrukce budovy ORNIS</t>
  </si>
  <si>
    <t>II/449 MÚK Unčovice - Litovel, úseky A, C, okružní křižovatka</t>
  </si>
  <si>
    <t>ORJ 50, UZ 818, 819</t>
  </si>
  <si>
    <t>OLÚ Paseka - hospodaření se srážkovými vodami (Moravský Beroun)</t>
  </si>
  <si>
    <t>Odborný léčebný ústav, Paseka - Modernizace lůžkového fondu pavilonu A</t>
  </si>
  <si>
    <t>101503</t>
  </si>
  <si>
    <t>Podpora rozvoje cestovního ruchu v Olomouckém kraji III</t>
  </si>
  <si>
    <t>E-turista</t>
  </si>
  <si>
    <t>ORJ 59, UZ 106515974</t>
  </si>
  <si>
    <t>7. Oblast životního prostředí</t>
  </si>
  <si>
    <t>8. Oblast územního plánování</t>
  </si>
  <si>
    <t>ORJ 13 a 19 UZ 88x POL 5331</t>
  </si>
  <si>
    <t>ORJ 10 UZ 88x</t>
  </si>
  <si>
    <t>ORJ 19 UZ 880</t>
  </si>
  <si>
    <t>ORJ 10 a 19 UZ 880</t>
  </si>
  <si>
    <t>ORJ 10 UZ 880</t>
  </si>
  <si>
    <t>ORJ 13 a 19 UZ 88x POL 6351</t>
  </si>
  <si>
    <t>Gymnázium Jana Opletala, Opletalova 189,  Litovel</t>
  </si>
  <si>
    <t>Střední lesnická škola, Jurikova 588, Hranice</t>
  </si>
  <si>
    <t>Hotelová škola Vincenze Priessnitze a Obchodní akademie Jeseník, Dukelská 680, Jeseník</t>
  </si>
  <si>
    <t>ZZS OK - Obnova vozového parku</t>
  </si>
  <si>
    <t>Základní škola a Mateřská škola Jeseník, Fučíkova 312</t>
  </si>
  <si>
    <t>Gymnázium, Čajkovského 9,  Olomouc</t>
  </si>
  <si>
    <t>Střední průmyslová škola, Studentská 1384,   Hranice</t>
  </si>
  <si>
    <t>Vyšší odborná škola a Střední průmyslová škola, Gen. Krátkého 1, Šumperk</t>
  </si>
  <si>
    <t>Střední škola logistiky a chemie, U Hradiska 29, Olomouc</t>
  </si>
  <si>
    <t>Dům dětí a mládeže, tř. 17. listopadu 47, Olomouc</t>
  </si>
  <si>
    <t>Gymnázium, Masarykovo nám. 8, Šumperk</t>
  </si>
  <si>
    <t>Střední škola technická, Kouřílkova 8,   Přerov</t>
  </si>
  <si>
    <t>Domov pro seniory Javorník, příspěvková organizace</t>
  </si>
  <si>
    <t>Dům seniorů FRANTIŠEK Náměšť na Hané, příspěvková organizace</t>
  </si>
  <si>
    <t>Centrum Dominika Kokory, příspěvková organizace</t>
  </si>
  <si>
    <t>Dětské centrum Ostrůvek, příspěvková organizace</t>
  </si>
  <si>
    <t>ORJ 52, UZ 17</t>
  </si>
  <si>
    <t>ORJ 52, UZ 23, 880 a 884</t>
  </si>
  <si>
    <t>ORJ 17, UZ 15</t>
  </si>
  <si>
    <t>hrazené z revolvingu KB (1 mld. Kč)</t>
  </si>
  <si>
    <t>Revolving KB (1 mld. Kč)</t>
  </si>
  <si>
    <t>Měrotín - Komunikace pro pěší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</si>
</sst>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 CE"/>
      <family val="2"/>
      <charset val="238"/>
    </font>
    <font>
      <b/>
      <i/>
      <sz val="11"/>
      <name val="Arial"/>
      <family val="2"/>
      <charset val="238"/>
    </font>
    <font>
      <b/>
      <i/>
      <u/>
      <sz val="11"/>
      <name val="Arial"/>
      <family val="2"/>
      <charset val="238"/>
    </font>
    <font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i/>
      <sz val="9"/>
      <name val="Arial"/>
      <family val="2"/>
      <charset val="238"/>
    </font>
    <font>
      <sz val="11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0"/>
      <color rgb="FF7030A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rgb="FF00B0F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color rgb="FF7030A0"/>
      <name val="Arial"/>
      <family val="2"/>
      <charset val="238"/>
    </font>
    <font>
      <b/>
      <i/>
      <sz val="10"/>
      <color rgb="FF00B0F0"/>
      <name val="Arial"/>
      <family val="2"/>
      <charset val="238"/>
    </font>
    <font>
      <b/>
      <i/>
      <sz val="10"/>
      <color rgb="FF00B050"/>
      <name val="Arial"/>
      <family val="2"/>
      <charset val="238"/>
    </font>
    <font>
      <b/>
      <sz val="10"/>
      <color theme="9"/>
      <name val="Arial"/>
      <family val="2"/>
      <charset val="238"/>
    </font>
    <font>
      <b/>
      <sz val="10"/>
      <color rgb="FFFFC000"/>
      <name val="Arial"/>
      <family val="2"/>
      <charset val="238"/>
    </font>
    <font>
      <b/>
      <i/>
      <sz val="10"/>
      <color rgb="FFFFC000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sz val="10"/>
      <color theme="3"/>
      <name val="Arial"/>
      <family val="2"/>
      <charset val="238"/>
    </font>
    <font>
      <b/>
      <i/>
      <sz val="10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i/>
      <sz val="10"/>
      <color theme="4" tint="-0.499984740745262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0"/>
      <color theme="3" tint="-0.499984740745262"/>
      <name val="Arial"/>
      <family val="2"/>
      <charset val="238"/>
    </font>
    <font>
      <b/>
      <sz val="10"/>
      <color theme="3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sz val="10"/>
      <color theme="3" tint="-0.499984740745262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i/>
      <sz val="10"/>
      <color rgb="FFFFFF00"/>
      <name val="Arial"/>
      <family val="2"/>
      <charset val="238"/>
    </font>
    <font>
      <b/>
      <i/>
      <sz val="10"/>
      <color rgb="FF0070C0"/>
      <name val="Arial"/>
      <family val="2"/>
      <charset val="238"/>
    </font>
    <font>
      <b/>
      <sz val="8"/>
      <name val="Arial"/>
      <family val="2"/>
      <charset val="238"/>
    </font>
    <font>
      <sz val="9"/>
      <color indexed="81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626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4" fillId="0" borderId="0" xfId="1" applyAlignment="1">
      <alignment horizontal="right"/>
    </xf>
    <xf numFmtId="4" fontId="4" fillId="0" borderId="0" xfId="1" applyNumberFormat="1"/>
    <xf numFmtId="0" fontId="4" fillId="0" borderId="0" xfId="1"/>
    <xf numFmtId="0" fontId="7" fillId="0" borderId="0" xfId="1" applyFont="1"/>
    <xf numFmtId="0" fontId="4" fillId="0" borderId="0" xfId="1" applyBorder="1"/>
    <xf numFmtId="0" fontId="7" fillId="0" borderId="14" xfId="1" applyFont="1" applyBorder="1"/>
    <xf numFmtId="0" fontId="4" fillId="0" borderId="14" xfId="1" applyBorder="1"/>
    <xf numFmtId="0" fontId="4" fillId="0" borderId="14" xfId="1" applyBorder="1" applyAlignment="1">
      <alignment horizontal="right"/>
    </xf>
    <xf numFmtId="0" fontId="4" fillId="0" borderId="7" xfId="1" applyBorder="1"/>
    <xf numFmtId="4" fontId="19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4" fontId="6" fillId="0" borderId="16" xfId="1" applyNumberFormat="1" applyFont="1" applyFill="1" applyBorder="1" applyAlignment="1">
      <alignment horizontal="center" vertical="center"/>
    </xf>
    <xf numFmtId="0" fontId="3" fillId="0" borderId="15" xfId="1" applyFont="1" applyBorder="1"/>
    <xf numFmtId="4" fontId="4" fillId="0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4" fontId="4" fillId="0" borderId="0" xfId="1" applyNumberFormat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left"/>
    </xf>
    <xf numFmtId="4" fontId="3" fillId="0" borderId="1" xfId="1" applyNumberFormat="1" applyFont="1" applyBorder="1"/>
    <xf numFmtId="4" fontId="3" fillId="0" borderId="0" xfId="1" applyNumberFormat="1" applyFont="1" applyBorder="1"/>
    <xf numFmtId="0" fontId="4" fillId="0" borderId="0" xfId="1" applyFont="1"/>
    <xf numFmtId="0" fontId="9" fillId="0" borderId="0" xfId="1" applyFont="1" applyBorder="1" applyAlignment="1">
      <alignment horizontal="left"/>
    </xf>
    <xf numFmtId="0" fontId="17" fillId="0" borderId="15" xfId="1" applyFont="1" applyBorder="1" applyAlignment="1">
      <alignment horizontal="left"/>
    </xf>
    <xf numFmtId="4" fontId="17" fillId="0" borderId="4" xfId="1" applyNumberFormat="1" applyFont="1" applyBorder="1"/>
    <xf numFmtId="0" fontId="17" fillId="0" borderId="0" xfId="1" applyFont="1"/>
    <xf numFmtId="0" fontId="20" fillId="0" borderId="0" xfId="1" applyFont="1"/>
    <xf numFmtId="0" fontId="21" fillId="0" borderId="0" xfId="1" applyFont="1"/>
    <xf numFmtId="0" fontId="7" fillId="0" borderId="0" xfId="1" applyFont="1" applyFill="1" applyAlignment="1">
      <alignment horizontal="left"/>
    </xf>
    <xf numFmtId="0" fontId="22" fillId="0" borderId="0" xfId="1" applyFont="1" applyFill="1"/>
    <xf numFmtId="4" fontId="22" fillId="0" borderId="0" xfId="1" applyNumberFormat="1" applyFont="1" applyFill="1"/>
    <xf numFmtId="0" fontId="4" fillId="0" borderId="0" xfId="1" applyFill="1"/>
    <xf numFmtId="0" fontId="3" fillId="0" borderId="0" xfId="1" applyFont="1" applyFill="1" applyAlignment="1">
      <alignment horizontal="left"/>
    </xf>
    <xf numFmtId="0" fontId="6" fillId="0" borderId="0" xfId="1" applyFont="1" applyFill="1" applyAlignment="1">
      <alignment horizontal="left"/>
    </xf>
    <xf numFmtId="0" fontId="4" fillId="0" borderId="0" xfId="1" applyFont="1" applyFill="1"/>
    <xf numFmtId="0" fontId="7" fillId="0" borderId="0" xfId="1" applyFont="1" applyFill="1" applyBorder="1" applyAlignment="1">
      <alignment horizontal="left"/>
    </xf>
    <xf numFmtId="0" fontId="5" fillId="0" borderId="0" xfId="1" applyFont="1" applyFill="1" applyAlignment="1">
      <alignment horizontal="left"/>
    </xf>
    <xf numFmtId="0" fontId="22" fillId="0" borderId="0" xfId="1" applyFont="1"/>
    <xf numFmtId="0" fontId="9" fillId="0" borderId="0" xfId="1" applyFont="1" applyFill="1" applyAlignment="1">
      <alignment horizontal="left"/>
    </xf>
    <xf numFmtId="0" fontId="4" fillId="0" borderId="0" xfId="1" applyFont="1" applyFill="1" applyAlignment="1">
      <alignment horizontal="right"/>
    </xf>
    <xf numFmtId="0" fontId="8" fillId="0" borderId="7" xfId="1" applyFont="1" applyFill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center" vertical="center" wrapText="1"/>
    </xf>
    <xf numFmtId="0" fontId="4" fillId="0" borderId="2" xfId="1" applyFill="1" applyBorder="1" applyAlignment="1">
      <alignment horizontal="center" vertical="center"/>
    </xf>
    <xf numFmtId="4" fontId="4" fillId="0" borderId="1" xfId="1" applyNumberFormat="1" applyFill="1" applyBorder="1" applyAlignment="1">
      <alignment horizontal="center" vertical="center"/>
    </xf>
    <xf numFmtId="0" fontId="4" fillId="0" borderId="3" xfId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left" vertical="center"/>
    </xf>
    <xf numFmtId="4" fontId="9" fillId="0" borderId="4" xfId="1" applyNumberFormat="1" applyFont="1" applyFill="1" applyBorder="1" applyAlignment="1">
      <alignment horizontal="right" vertical="center"/>
    </xf>
    <xf numFmtId="164" fontId="9" fillId="0" borderId="5" xfId="1" applyNumberFormat="1" applyFont="1" applyFill="1" applyBorder="1"/>
    <xf numFmtId="4" fontId="11" fillId="2" borderId="0" xfId="1" applyNumberFormat="1" applyFont="1" applyFill="1" applyBorder="1" applyAlignment="1">
      <alignment horizontal="right" vertical="center"/>
    </xf>
    <xf numFmtId="4" fontId="10" fillId="2" borderId="0" xfId="1" applyNumberFormat="1" applyFont="1" applyFill="1" applyBorder="1" applyAlignment="1">
      <alignment vertical="center"/>
    </xf>
    <xf numFmtId="164" fontId="10" fillId="0" borderId="0" xfId="1" applyNumberFormat="1" applyFont="1" applyFill="1" applyBorder="1" applyAlignment="1">
      <alignment vertical="center"/>
    </xf>
    <xf numFmtId="0" fontId="22" fillId="0" borderId="0" xfId="1" applyFont="1" applyBorder="1" applyAlignment="1">
      <alignment vertical="center"/>
    </xf>
    <xf numFmtId="0" fontId="4" fillId="0" borderId="0" xfId="1" applyBorder="1" applyAlignment="1">
      <alignment vertical="center"/>
    </xf>
    <xf numFmtId="3" fontId="11" fillId="2" borderId="0" xfId="1" applyNumberFormat="1" applyFont="1" applyFill="1" applyBorder="1" applyAlignment="1">
      <alignment horizontal="right" vertical="center"/>
    </xf>
    <xf numFmtId="0" fontId="22" fillId="0" borderId="0" xfId="1" applyFont="1" applyBorder="1"/>
    <xf numFmtId="0" fontId="9" fillId="2" borderId="0" xfId="1" applyFont="1" applyFill="1" applyBorder="1" applyAlignment="1">
      <alignment horizontal="left" vertical="center"/>
    </xf>
    <xf numFmtId="164" fontId="12" fillId="0" borderId="5" xfId="1" applyNumberFormat="1" applyFont="1" applyFill="1" applyBorder="1" applyAlignment="1">
      <alignment vertical="center"/>
    </xf>
    <xf numFmtId="0" fontId="23" fillId="0" borderId="0" xfId="1" applyFont="1"/>
    <xf numFmtId="0" fontId="10" fillId="0" borderId="0" xfId="1" applyFont="1"/>
    <xf numFmtId="0" fontId="8" fillId="2" borderId="0" xfId="1" applyFont="1" applyFill="1" applyBorder="1" applyAlignment="1">
      <alignment vertical="center" wrapText="1"/>
    </xf>
    <xf numFmtId="0" fontId="7" fillId="2" borderId="8" xfId="1" applyFont="1" applyFill="1" applyBorder="1" applyAlignment="1">
      <alignment vertical="center" wrapText="1"/>
    </xf>
    <xf numFmtId="4" fontId="3" fillId="2" borderId="8" xfId="1" applyNumberFormat="1" applyFont="1" applyFill="1" applyBorder="1" applyAlignment="1">
      <alignment vertical="center"/>
    </xf>
    <xf numFmtId="164" fontId="15" fillId="0" borderId="8" xfId="1" applyNumberFormat="1" applyFont="1" applyFill="1" applyBorder="1" applyAlignment="1">
      <alignment vertical="center"/>
    </xf>
    <xf numFmtId="0" fontId="24" fillId="0" borderId="0" xfId="1" applyFont="1"/>
    <xf numFmtId="0" fontId="10" fillId="0" borderId="0" xfId="1" applyFont="1" applyBorder="1"/>
    <xf numFmtId="4" fontId="10" fillId="0" borderId="0" xfId="1" applyNumberFormat="1" applyFont="1" applyBorder="1"/>
    <xf numFmtId="4" fontId="9" fillId="0" borderId="13" xfId="1" applyNumberFormat="1" applyFont="1" applyFill="1" applyBorder="1" applyAlignment="1">
      <alignment horizontal="right" vertical="center"/>
    </xf>
    <xf numFmtId="4" fontId="10" fillId="0" borderId="0" xfId="1" applyNumberFormat="1" applyFont="1" applyFill="1" applyBorder="1" applyAlignment="1">
      <alignment horizontal="right"/>
    </xf>
    <xf numFmtId="0" fontId="13" fillId="0" borderId="0" xfId="1" applyFont="1" applyFill="1" applyBorder="1" applyAlignment="1">
      <alignment horizontal="left"/>
    </xf>
    <xf numFmtId="0" fontId="14" fillId="0" borderId="0" xfId="1" applyFont="1" applyFill="1" applyBorder="1"/>
    <xf numFmtId="0" fontId="14" fillId="0" borderId="0" xfId="1" applyFont="1" applyFill="1" applyBorder="1" applyAlignment="1">
      <alignment horizontal="left"/>
    </xf>
    <xf numFmtId="4" fontId="10" fillId="0" borderId="0" xfId="1" applyNumberFormat="1" applyFont="1" applyFill="1" applyBorder="1"/>
    <xf numFmtId="164" fontId="14" fillId="0" borderId="0" xfId="1" applyNumberFormat="1" applyFont="1" applyFill="1" applyBorder="1"/>
    <xf numFmtId="0" fontId="15" fillId="0" borderId="8" xfId="1" applyFont="1" applyFill="1" applyBorder="1" applyAlignment="1">
      <alignment horizontal="left"/>
    </xf>
    <xf numFmtId="4" fontId="12" fillId="0" borderId="8" xfId="1" applyNumberFormat="1" applyFont="1" applyFill="1" applyBorder="1"/>
    <xf numFmtId="164" fontId="12" fillId="0" borderId="8" xfId="1" applyNumberFormat="1" applyFont="1" applyFill="1" applyBorder="1"/>
    <xf numFmtId="164" fontId="9" fillId="0" borderId="5" xfId="1" applyNumberFormat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4" fillId="2" borderId="0" xfId="1" applyFill="1"/>
    <xf numFmtId="0" fontId="4" fillId="0" borderId="0" xfId="1" applyFont="1" applyFill="1" applyAlignment="1">
      <alignment horizontal="left" vertical="center"/>
    </xf>
    <xf numFmtId="0" fontId="5" fillId="0" borderId="0" xfId="1" applyFont="1" applyFill="1" applyBorder="1" applyAlignment="1">
      <alignment horizontal="left"/>
    </xf>
    <xf numFmtId="0" fontId="10" fillId="0" borderId="0" xfId="1" applyFont="1" applyFill="1" applyAlignment="1">
      <alignment horizontal="left"/>
    </xf>
    <xf numFmtId="3" fontId="10" fillId="0" borderId="0" xfId="1" applyNumberFormat="1" applyFont="1" applyFill="1" applyBorder="1" applyAlignment="1">
      <alignment horizontal="left"/>
    </xf>
    <xf numFmtId="0" fontId="4" fillId="0" borderId="0" xfId="1" applyFont="1" applyFill="1" applyAlignment="1">
      <alignment horizontal="left"/>
    </xf>
    <xf numFmtId="0" fontId="18" fillId="0" borderId="0" xfId="1" applyFont="1" applyFill="1" applyAlignment="1">
      <alignment horizontal="left"/>
    </xf>
    <xf numFmtId="0" fontId="22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3" fontId="10" fillId="0" borderId="0" xfId="1" applyNumberFormat="1" applyFont="1" applyFill="1" applyBorder="1" applyAlignment="1">
      <alignment horizontal="left" vertical="center"/>
    </xf>
    <xf numFmtId="3" fontId="4" fillId="0" borderId="0" xfId="1" applyNumberFormat="1" applyFont="1" applyFill="1" applyAlignment="1">
      <alignment horizontal="left"/>
    </xf>
    <xf numFmtId="0" fontId="4" fillId="0" borderId="0" xfId="1" applyFont="1" applyAlignment="1">
      <alignment horizontal="left"/>
    </xf>
    <xf numFmtId="4" fontId="25" fillId="0" borderId="0" xfId="1" applyNumberFormat="1" applyFont="1" applyBorder="1"/>
    <xf numFmtId="0" fontId="10" fillId="0" borderId="0" xfId="1" applyFont="1" applyFill="1" applyAlignment="1">
      <alignment horizontal="left" vertical="center"/>
    </xf>
    <xf numFmtId="0" fontId="23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26" fillId="0" borderId="0" xfId="1" applyFont="1" applyFill="1" applyAlignment="1">
      <alignment horizontal="center"/>
    </xf>
    <xf numFmtId="0" fontId="26" fillId="0" borderId="0" xfId="1" applyFont="1" applyFill="1" applyBorder="1" applyAlignment="1">
      <alignment horizontal="center"/>
    </xf>
    <xf numFmtId="4" fontId="22" fillId="0" borderId="0" xfId="1" applyNumberFormat="1" applyFont="1"/>
    <xf numFmtId="0" fontId="4" fillId="5" borderId="0" xfId="1" applyFont="1" applyFill="1" applyAlignment="1">
      <alignment horizontal="left"/>
    </xf>
    <xf numFmtId="0" fontId="4" fillId="3" borderId="0" xfId="1" applyFont="1" applyFill="1" applyAlignment="1">
      <alignment horizontal="left"/>
    </xf>
    <xf numFmtId="0" fontId="4" fillId="6" borderId="0" xfId="1" applyFont="1" applyFill="1" applyAlignment="1">
      <alignment horizontal="left"/>
    </xf>
    <xf numFmtId="0" fontId="4" fillId="7" borderId="0" xfId="1" applyFont="1" applyFill="1" applyAlignment="1">
      <alignment horizontal="left"/>
    </xf>
    <xf numFmtId="0" fontId="7" fillId="3" borderId="0" xfId="1" applyFont="1" applyFill="1" applyAlignment="1">
      <alignment horizontal="left"/>
    </xf>
    <xf numFmtId="0" fontId="7" fillId="6" borderId="0" xfId="1" applyFont="1" applyFill="1" applyAlignment="1">
      <alignment horizontal="left"/>
    </xf>
    <xf numFmtId="0" fontId="7" fillId="4" borderId="0" xfId="1" applyFont="1" applyFill="1" applyAlignment="1">
      <alignment horizontal="left"/>
    </xf>
    <xf numFmtId="4" fontId="0" fillId="0" borderId="0" xfId="0" applyNumberFormat="1" applyFill="1" applyAlignment="1">
      <alignment horizontal="right"/>
    </xf>
    <xf numFmtId="0" fontId="25" fillId="0" borderId="0" xfId="1" applyFont="1"/>
    <xf numFmtId="0" fontId="29" fillId="0" borderId="0" xfId="1" applyFont="1"/>
    <xf numFmtId="0" fontId="30" fillId="0" borderId="0" xfId="1" applyFont="1"/>
    <xf numFmtId="4" fontId="9" fillId="0" borderId="10" xfId="1" applyNumberFormat="1" applyFont="1" applyFill="1" applyBorder="1" applyAlignment="1">
      <alignment horizontal="right" vertical="center"/>
    </xf>
    <xf numFmtId="0" fontId="10" fillId="2" borderId="0" xfId="3" applyFont="1" applyFill="1" applyBorder="1" applyAlignment="1">
      <alignment vertical="center" wrapText="1"/>
    </xf>
    <xf numFmtId="4" fontId="10" fillId="0" borderId="0" xfId="1" applyNumberFormat="1" applyFont="1" applyFill="1" applyBorder="1" applyAlignment="1">
      <alignment vertical="center"/>
    </xf>
    <xf numFmtId="0" fontId="4" fillId="9" borderId="0" xfId="2" applyNumberFormat="1" applyFont="1" applyFill="1" applyBorder="1" applyAlignment="1">
      <alignment horizontal="center" vertical="center" wrapText="1"/>
    </xf>
    <xf numFmtId="0" fontId="34" fillId="9" borderId="0" xfId="0" applyFont="1" applyFill="1"/>
    <xf numFmtId="49" fontId="2" fillId="0" borderId="0" xfId="1" applyNumberFormat="1" applyFont="1" applyFill="1" applyAlignment="1">
      <alignment horizontal="left"/>
    </xf>
    <xf numFmtId="49" fontId="2" fillId="0" borderId="0" xfId="1" applyNumberFormat="1" applyFont="1" applyFill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4" fontId="9" fillId="0" borderId="0" xfId="0" applyNumberFormat="1" applyFont="1" applyFill="1"/>
    <xf numFmtId="4" fontId="36" fillId="0" borderId="0" xfId="0" applyNumberFormat="1" applyFont="1" applyFill="1"/>
    <xf numFmtId="4" fontId="27" fillId="0" borderId="0" xfId="0" applyNumberFormat="1" applyFont="1" applyFill="1"/>
    <xf numFmtId="0" fontId="35" fillId="0" borderId="0" xfId="1" applyFont="1"/>
    <xf numFmtId="4" fontId="35" fillId="0" borderId="0" xfId="1" applyNumberFormat="1" applyFont="1"/>
    <xf numFmtId="0" fontId="38" fillId="0" borderId="0" xfId="1" applyFont="1"/>
    <xf numFmtId="4" fontId="8" fillId="0" borderId="0" xfId="1" applyNumberFormat="1" applyFon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/>
    </xf>
    <xf numFmtId="4" fontId="4" fillId="0" borderId="0" xfId="1" applyNumberFormat="1" applyFill="1" applyBorder="1" applyAlignment="1">
      <alignment horizontal="center" vertical="center"/>
    </xf>
    <xf numFmtId="4" fontId="10" fillId="0" borderId="9" xfId="1" applyNumberFormat="1" applyFont="1" applyFill="1" applyBorder="1" applyAlignment="1">
      <alignment vertical="center"/>
    </xf>
    <xf numFmtId="164" fontId="10" fillId="0" borderId="6" xfId="1" applyNumberFormat="1" applyFont="1" applyFill="1" applyBorder="1" applyAlignment="1">
      <alignment vertical="center"/>
    </xf>
    <xf numFmtId="4" fontId="10" fillId="0" borderId="14" xfId="1" applyNumberFormat="1" applyFont="1" applyFill="1" applyBorder="1" applyAlignment="1">
      <alignment vertical="center"/>
    </xf>
    <xf numFmtId="4" fontId="10" fillId="0" borderId="4" xfId="1" applyNumberFormat="1" applyFont="1" applyFill="1" applyBorder="1"/>
    <xf numFmtId="4" fontId="10" fillId="0" borderId="9" xfId="1" applyNumberFormat="1" applyFont="1" applyFill="1" applyBorder="1"/>
    <xf numFmtId="1" fontId="10" fillId="0" borderId="0" xfId="1" applyNumberFormat="1" applyFont="1" applyFill="1" applyBorder="1" applyAlignment="1">
      <alignment horizontal="left" vertical="center"/>
    </xf>
    <xf numFmtId="0" fontId="34" fillId="9" borderId="0" xfId="0" applyFont="1" applyFill="1" applyAlignment="1">
      <alignment vertical="center"/>
    </xf>
    <xf numFmtId="4" fontId="36" fillId="10" borderId="0" xfId="0" applyNumberFormat="1" applyFont="1" applyFill="1" applyAlignment="1">
      <alignment vertical="center"/>
    </xf>
    <xf numFmtId="4" fontId="9" fillId="0" borderId="0" xfId="1" applyNumberFormat="1" applyFont="1"/>
    <xf numFmtId="0" fontId="32" fillId="0" borderId="0" xfId="1" applyFont="1"/>
    <xf numFmtId="0" fontId="35" fillId="0" borderId="0" xfId="1" applyFont="1" applyAlignment="1">
      <alignment vertical="center"/>
    </xf>
    <xf numFmtId="0" fontId="39" fillId="0" borderId="0" xfId="1" applyFont="1" applyAlignment="1">
      <alignment vertical="center"/>
    </xf>
    <xf numFmtId="0" fontId="39" fillId="0" borderId="0" xfId="1" applyFont="1"/>
    <xf numFmtId="0" fontId="42" fillId="0" borderId="0" xfId="1" applyFont="1"/>
    <xf numFmtId="0" fontId="7" fillId="2" borderId="0" xfId="1" applyFont="1" applyFill="1" applyBorder="1" applyAlignment="1">
      <alignment vertical="center" wrapText="1"/>
    </xf>
    <xf numFmtId="4" fontId="3" fillId="2" borderId="0" xfId="1" applyNumberFormat="1" applyFont="1" applyFill="1" applyBorder="1" applyAlignment="1">
      <alignment vertical="center"/>
    </xf>
    <xf numFmtId="164" fontId="15" fillId="0" borderId="0" xfId="1" applyNumberFormat="1" applyFont="1" applyFill="1" applyBorder="1" applyAlignment="1">
      <alignment vertical="center"/>
    </xf>
    <xf numFmtId="0" fontId="2" fillId="0" borderId="0" xfId="1" applyFont="1" applyFill="1" applyAlignment="1">
      <alignment horizontal="right"/>
    </xf>
    <xf numFmtId="0" fontId="9" fillId="0" borderId="17" xfId="1" applyFont="1" applyFill="1" applyBorder="1" applyAlignment="1">
      <alignment horizontal="left" vertical="center"/>
    </xf>
    <xf numFmtId="164" fontId="12" fillId="0" borderId="11" xfId="1" applyNumberFormat="1" applyFont="1" applyFill="1" applyBorder="1" applyAlignment="1">
      <alignment vertical="center"/>
    </xf>
    <xf numFmtId="0" fontId="10" fillId="0" borderId="0" xfId="1" applyFont="1" applyFill="1" applyBorder="1"/>
    <xf numFmtId="0" fontId="10" fillId="0" borderId="15" xfId="1" applyFont="1" applyFill="1" applyBorder="1"/>
    <xf numFmtId="4" fontId="10" fillId="0" borderId="5" xfId="1" applyNumberFormat="1" applyFont="1" applyFill="1" applyBorder="1"/>
    <xf numFmtId="0" fontId="3" fillId="0" borderId="15" xfId="1" applyFont="1" applyFill="1" applyBorder="1"/>
    <xf numFmtId="4" fontId="6" fillId="0" borderId="4" xfId="1" applyNumberFormat="1" applyFont="1" applyFill="1" applyBorder="1"/>
    <xf numFmtId="4" fontId="6" fillId="0" borderId="5" xfId="1" applyNumberFormat="1" applyFont="1" applyFill="1" applyBorder="1"/>
    <xf numFmtId="0" fontId="3" fillId="0" borderId="15" xfId="1" applyFont="1" applyFill="1" applyBorder="1" applyAlignment="1">
      <alignment wrapText="1"/>
    </xf>
    <xf numFmtId="4" fontId="6" fillId="0" borderId="4" xfId="1" applyNumberFormat="1" applyFont="1" applyFill="1" applyBorder="1" applyAlignment="1">
      <alignment vertical="center"/>
    </xf>
    <xf numFmtId="0" fontId="17" fillId="0" borderId="15" xfId="1" applyFont="1" applyFill="1" applyBorder="1" applyAlignment="1">
      <alignment horizontal="left"/>
    </xf>
    <xf numFmtId="4" fontId="17" fillId="0" borderId="4" xfId="1" applyNumberFormat="1" applyFont="1" applyFill="1" applyBorder="1"/>
    <xf numFmtId="4" fontId="6" fillId="0" borderId="0" xfId="1" applyNumberFormat="1" applyFont="1" applyFill="1"/>
    <xf numFmtId="4" fontId="27" fillId="0" borderId="0" xfId="1" applyNumberFormat="1" applyFont="1" applyFill="1"/>
    <xf numFmtId="4" fontId="39" fillId="0" borderId="0" xfId="1" applyNumberFormat="1" applyFont="1"/>
    <xf numFmtId="4" fontId="37" fillId="0" borderId="0" xfId="1" applyNumberFormat="1" applyFont="1" applyFill="1"/>
    <xf numFmtId="4" fontId="34" fillId="0" borderId="0" xfId="0" applyNumberFormat="1" applyFont="1" applyFill="1"/>
    <xf numFmtId="4" fontId="26" fillId="0" borderId="0" xfId="0" applyNumberFormat="1" applyFont="1" applyFill="1"/>
    <xf numFmtId="4" fontId="6" fillId="0" borderId="0" xfId="1" applyNumberFormat="1" applyFont="1"/>
    <xf numFmtId="4" fontId="6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right"/>
    </xf>
    <xf numFmtId="0" fontId="10" fillId="0" borderId="18" xfId="1" applyFont="1" applyFill="1" applyBorder="1" applyAlignment="1">
      <alignment horizontal="left" vertical="center" wrapText="1"/>
    </xf>
    <xf numFmtId="4" fontId="45" fillId="2" borderId="0" xfId="1" applyNumberFormat="1" applyFont="1" applyFill="1"/>
    <xf numFmtId="4" fontId="40" fillId="2" borderId="0" xfId="1" applyNumberFormat="1" applyFont="1" applyFill="1"/>
    <xf numFmtId="0" fontId="10" fillId="0" borderId="18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center"/>
    </xf>
    <xf numFmtId="0" fontId="4" fillId="0" borderId="14" xfId="1" applyFont="1" applyFill="1" applyBorder="1" applyAlignment="1">
      <alignment horizontal="right"/>
    </xf>
    <xf numFmtId="4" fontId="6" fillId="0" borderId="5" xfId="1" applyNumberFormat="1" applyFont="1" applyFill="1" applyBorder="1" applyAlignment="1">
      <alignment vertical="center"/>
    </xf>
    <xf numFmtId="4" fontId="22" fillId="0" borderId="0" xfId="1" applyNumberFormat="1" applyFont="1" applyFill="1" applyAlignment="1">
      <alignment vertical="center"/>
    </xf>
    <xf numFmtId="4" fontId="10" fillId="0" borderId="0" xfId="1" applyNumberFormat="1" applyFont="1" applyAlignment="1">
      <alignment vertical="center"/>
    </xf>
    <xf numFmtId="0" fontId="10" fillId="0" borderId="0" xfId="1" applyFont="1" applyFill="1" applyBorder="1" applyAlignment="1">
      <alignment horizontal="left" vertical="center" wrapText="1"/>
    </xf>
    <xf numFmtId="4" fontId="10" fillId="0" borderId="0" xfId="1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vertical="top"/>
    </xf>
    <xf numFmtId="4" fontId="27" fillId="0" borderId="0" xfId="0" applyNumberFormat="1" applyFont="1" applyFill="1" applyAlignment="1">
      <alignment vertical="top"/>
    </xf>
    <xf numFmtId="0" fontId="32" fillId="0" borderId="0" xfId="1" applyFont="1" applyBorder="1"/>
    <xf numFmtId="4" fontId="2" fillId="0" borderId="0" xfId="1" applyNumberFormat="1" applyFont="1"/>
    <xf numFmtId="0" fontId="4" fillId="8" borderId="0" xfId="1" applyFont="1" applyFill="1" applyAlignment="1">
      <alignment horizontal="left"/>
    </xf>
    <xf numFmtId="0" fontId="34" fillId="8" borderId="0" xfId="0" applyFont="1" applyFill="1"/>
    <xf numFmtId="4" fontId="22" fillId="8" borderId="0" xfId="1" applyNumberFormat="1" applyFont="1" applyFill="1"/>
    <xf numFmtId="0" fontId="4" fillId="8" borderId="0" xfId="1" applyFill="1"/>
    <xf numFmtId="0" fontId="22" fillId="8" borderId="0" xfId="1" applyFont="1" applyFill="1"/>
    <xf numFmtId="0" fontId="4" fillId="8" borderId="0" xfId="1" applyFont="1" applyFill="1"/>
    <xf numFmtId="0" fontId="4" fillId="8" borderId="0" xfId="1" applyFont="1" applyFill="1" applyAlignment="1">
      <alignment horizontal="left" vertical="center"/>
    </xf>
    <xf numFmtId="0" fontId="8" fillId="8" borderId="7" xfId="1" applyFont="1" applyFill="1" applyBorder="1" applyAlignment="1">
      <alignment horizontal="center" vertical="center"/>
    </xf>
    <xf numFmtId="4" fontId="8" fillId="8" borderId="1" xfId="1" applyNumberFormat="1" applyFont="1" applyFill="1" applyBorder="1" applyAlignment="1">
      <alignment horizontal="center" vertical="center" wrapText="1"/>
    </xf>
    <xf numFmtId="0" fontId="4" fillId="8" borderId="2" xfId="1" applyFill="1" applyBorder="1" applyAlignment="1">
      <alignment horizontal="center" vertical="center"/>
    </xf>
    <xf numFmtId="4" fontId="4" fillId="8" borderId="1" xfId="1" applyNumberFormat="1" applyFill="1" applyBorder="1" applyAlignment="1">
      <alignment horizontal="center" vertical="center"/>
    </xf>
    <xf numFmtId="0" fontId="4" fillId="8" borderId="3" xfId="1" applyFill="1" applyBorder="1" applyAlignment="1">
      <alignment horizontal="center" vertical="center"/>
    </xf>
    <xf numFmtId="0" fontId="4" fillId="8" borderId="0" xfId="1" applyFill="1" applyBorder="1"/>
    <xf numFmtId="164" fontId="10" fillId="8" borderId="0" xfId="1" applyNumberFormat="1" applyFont="1" applyFill="1" applyBorder="1" applyAlignment="1">
      <alignment vertical="center"/>
    </xf>
    <xf numFmtId="0" fontId="5" fillId="8" borderId="0" xfId="1" applyFont="1" applyFill="1" applyBorder="1" applyAlignment="1">
      <alignment horizontal="left"/>
    </xf>
    <xf numFmtId="0" fontId="22" fillId="8" borderId="0" xfId="1" applyFont="1" applyFill="1" applyBorder="1"/>
    <xf numFmtId="0" fontId="9" fillId="8" borderId="0" xfId="1" applyFont="1" applyFill="1" applyBorder="1" applyAlignment="1">
      <alignment horizontal="left" vertical="center"/>
    </xf>
    <xf numFmtId="0" fontId="2" fillId="8" borderId="0" xfId="1" applyFont="1" applyFill="1" applyAlignment="1">
      <alignment horizontal="right"/>
    </xf>
    <xf numFmtId="0" fontId="9" fillId="8" borderId="17" xfId="1" applyFont="1" applyFill="1" applyBorder="1" applyAlignment="1">
      <alignment horizontal="left" vertical="center"/>
    </xf>
    <xf numFmtId="164" fontId="12" fillId="8" borderId="11" xfId="1" applyNumberFormat="1" applyFont="1" applyFill="1" applyBorder="1" applyAlignment="1">
      <alignment vertical="center"/>
    </xf>
    <xf numFmtId="0" fontId="26" fillId="8" borderId="0" xfId="0" applyFont="1" applyFill="1" applyAlignment="1">
      <alignment vertical="center"/>
    </xf>
    <xf numFmtId="0" fontId="5" fillId="8" borderId="0" xfId="1" applyFont="1" applyFill="1" applyAlignment="1">
      <alignment horizontal="left"/>
    </xf>
    <xf numFmtId="0" fontId="9" fillId="8" borderId="0" xfId="1" applyFont="1" applyFill="1" applyAlignment="1">
      <alignment horizontal="left"/>
    </xf>
    <xf numFmtId="0" fontId="4" fillId="8" borderId="0" xfId="1" applyFont="1" applyFill="1" applyAlignment="1">
      <alignment horizontal="right"/>
    </xf>
    <xf numFmtId="0" fontId="26" fillId="8" borderId="0" xfId="1" applyFont="1" applyFill="1" applyAlignment="1">
      <alignment horizontal="center"/>
    </xf>
    <xf numFmtId="0" fontId="38" fillId="8" borderId="0" xfId="1" applyFont="1" applyFill="1"/>
    <xf numFmtId="0" fontId="9" fillId="8" borderId="15" xfId="1" applyFont="1" applyFill="1" applyBorder="1" applyAlignment="1">
      <alignment horizontal="left" vertical="center"/>
    </xf>
    <xf numFmtId="4" fontId="9" fillId="8" borderId="4" xfId="1" applyNumberFormat="1" applyFont="1" applyFill="1" applyBorder="1" applyAlignment="1">
      <alignment horizontal="right" vertical="center"/>
    </xf>
    <xf numFmtId="164" fontId="9" fillId="8" borderId="5" xfId="1" applyNumberFormat="1" applyFont="1" applyFill="1" applyBorder="1" applyAlignment="1">
      <alignment vertical="center"/>
    </xf>
    <xf numFmtId="0" fontId="6" fillId="8" borderId="0" xfId="1" applyFont="1" applyFill="1" applyBorder="1" applyAlignment="1">
      <alignment horizontal="center" vertical="center"/>
    </xf>
    <xf numFmtId="0" fontId="35" fillId="8" borderId="0" xfId="1" applyFont="1" applyFill="1"/>
    <xf numFmtId="4" fontId="34" fillId="0" borderId="0" xfId="1" applyNumberFormat="1" applyFont="1"/>
    <xf numFmtId="0" fontId="10" fillId="0" borderId="21" xfId="1" applyFont="1" applyFill="1" applyBorder="1" applyAlignment="1">
      <alignment horizontal="left" vertical="center" wrapText="1"/>
    </xf>
    <xf numFmtId="4" fontId="10" fillId="0" borderId="22" xfId="1" applyNumberFormat="1" applyFont="1" applyFill="1" applyBorder="1" applyAlignment="1">
      <alignment vertical="center"/>
    </xf>
    <xf numFmtId="4" fontId="11" fillId="0" borderId="23" xfId="1" applyNumberFormat="1" applyFont="1" applyFill="1" applyBorder="1" applyAlignment="1">
      <alignment horizontal="right" vertical="center"/>
    </xf>
    <xf numFmtId="164" fontId="10" fillId="0" borderId="24" xfId="1" applyNumberFormat="1" applyFont="1" applyFill="1" applyBorder="1" applyAlignment="1">
      <alignment vertical="center"/>
    </xf>
    <xf numFmtId="4" fontId="11" fillId="0" borderId="22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vertical="center" wrapText="1"/>
    </xf>
    <xf numFmtId="0" fontId="10" fillId="0" borderId="25" xfId="1" applyFont="1" applyFill="1" applyBorder="1" applyAlignment="1">
      <alignment vertical="center" wrapText="1"/>
    </xf>
    <xf numFmtId="4" fontId="11" fillId="0" borderId="26" xfId="1" applyNumberFormat="1" applyFont="1" applyFill="1" applyBorder="1" applyAlignment="1">
      <alignment horizontal="right" vertical="center"/>
    </xf>
    <xf numFmtId="164" fontId="10" fillId="0" borderId="27" xfId="1" applyNumberFormat="1" applyFont="1" applyFill="1" applyBorder="1" applyAlignment="1">
      <alignment vertical="center"/>
    </xf>
    <xf numFmtId="4" fontId="10" fillId="0" borderId="28" xfId="1" applyNumberFormat="1" applyFont="1" applyFill="1" applyBorder="1" applyAlignment="1">
      <alignment vertical="center"/>
    </xf>
    <xf numFmtId="0" fontId="10" fillId="0" borderId="21" xfId="1" applyFont="1" applyFill="1" applyBorder="1" applyAlignment="1">
      <alignment wrapText="1"/>
    </xf>
    <xf numFmtId="0" fontId="10" fillId="0" borderId="25" xfId="1" applyFont="1" applyFill="1" applyBorder="1" applyAlignment="1">
      <alignment wrapText="1"/>
    </xf>
    <xf numFmtId="4" fontId="10" fillId="8" borderId="28" xfId="1" applyNumberFormat="1" applyFont="1" applyFill="1" applyBorder="1" applyAlignment="1">
      <alignment horizontal="right"/>
    </xf>
    <xf numFmtId="4" fontId="10" fillId="8" borderId="22" xfId="1" applyNumberFormat="1" applyFont="1" applyFill="1" applyBorder="1" applyAlignment="1">
      <alignment horizontal="right"/>
    </xf>
    <xf numFmtId="164" fontId="10" fillId="8" borderId="24" xfId="1" applyNumberFormat="1" applyFont="1" applyFill="1" applyBorder="1" applyAlignment="1">
      <alignment vertical="center"/>
    </xf>
    <xf numFmtId="0" fontId="10" fillId="8" borderId="21" xfId="1" applyFont="1" applyFill="1" applyBorder="1" applyAlignment="1">
      <alignment vertical="center" wrapText="1"/>
    </xf>
    <xf numFmtId="4" fontId="10" fillId="8" borderId="28" xfId="1" applyNumberFormat="1" applyFont="1" applyFill="1" applyBorder="1" applyAlignment="1">
      <alignment horizontal="right" vertical="center"/>
    </xf>
    <xf numFmtId="0" fontId="10" fillId="8" borderId="25" xfId="1" applyFont="1" applyFill="1" applyBorder="1" applyAlignment="1">
      <alignment vertical="center" wrapText="1"/>
    </xf>
    <xf numFmtId="164" fontId="10" fillId="8" borderId="27" xfId="1" applyNumberFormat="1" applyFont="1" applyFill="1" applyBorder="1" applyAlignment="1">
      <alignment vertical="center"/>
    </xf>
    <xf numFmtId="0" fontId="10" fillId="0" borderId="21" xfId="1" applyFont="1" applyFill="1" applyBorder="1"/>
    <xf numFmtId="4" fontId="10" fillId="0" borderId="22" xfId="1" applyNumberFormat="1" applyFont="1" applyFill="1" applyBorder="1" applyAlignment="1">
      <alignment horizontal="right"/>
    </xf>
    <xf numFmtId="0" fontId="7" fillId="0" borderId="0" xfId="6" applyFont="1" applyFill="1" applyAlignment="1">
      <alignment horizontal="left"/>
    </xf>
    <xf numFmtId="3" fontId="2" fillId="0" borderId="0" xfId="6" applyNumberFormat="1" applyFont="1" applyFill="1" applyAlignment="1">
      <alignment horizontal="left"/>
    </xf>
    <xf numFmtId="0" fontId="22" fillId="0" borderId="0" xfId="6" applyFont="1" applyFill="1"/>
    <xf numFmtId="4" fontId="22" fillId="0" borderId="0" xfId="6" applyNumberFormat="1" applyFont="1" applyFill="1"/>
    <xf numFmtId="0" fontId="2" fillId="0" borderId="0" xfId="6" applyFill="1"/>
    <xf numFmtId="0" fontId="3" fillId="0" borderId="0" xfId="6" applyFont="1" applyFill="1" applyAlignment="1">
      <alignment horizontal="left"/>
    </xf>
    <xf numFmtId="0" fontId="6" fillId="0" borderId="0" xfId="6" applyFont="1" applyFill="1" applyAlignment="1">
      <alignment horizontal="left"/>
    </xf>
    <xf numFmtId="0" fontId="2" fillId="0" borderId="0" xfId="6" applyFont="1" applyFill="1"/>
    <xf numFmtId="0" fontId="2" fillId="0" borderId="0" xfId="6"/>
    <xf numFmtId="0" fontId="5" fillId="0" borderId="0" xfId="6" applyFont="1" applyFill="1" applyAlignment="1">
      <alignment horizontal="left"/>
    </xf>
    <xf numFmtId="0" fontId="2" fillId="0" borderId="0" xfId="6" applyFont="1" applyAlignment="1">
      <alignment horizontal="left"/>
    </xf>
    <xf numFmtId="0" fontId="22" fillId="0" borderId="0" xfId="6" applyFont="1"/>
    <xf numFmtId="0" fontId="7" fillId="0" borderId="0" xfId="6" applyFont="1" applyFill="1" applyBorder="1" applyAlignment="1">
      <alignment horizontal="left"/>
    </xf>
    <xf numFmtId="0" fontId="9" fillId="0" borderId="0" xfId="6" applyFont="1" applyFill="1" applyAlignment="1">
      <alignment horizontal="left"/>
    </xf>
    <xf numFmtId="0" fontId="2" fillId="0" borderId="0" xfId="6" applyAlignment="1">
      <alignment horizontal="right"/>
    </xf>
    <xf numFmtId="0" fontId="2" fillId="0" borderId="0" xfId="6" applyFont="1" applyFill="1" applyAlignment="1">
      <alignment horizontal="right"/>
    </xf>
    <xf numFmtId="0" fontId="8" fillId="0" borderId="7" xfId="6" applyFont="1" applyFill="1" applyBorder="1" applyAlignment="1">
      <alignment horizontal="center" vertical="center"/>
    </xf>
    <xf numFmtId="4" fontId="8" fillId="0" borderId="1" xfId="6" applyNumberFormat="1" applyFont="1" applyFill="1" applyBorder="1" applyAlignment="1">
      <alignment horizontal="center" vertical="center" wrapText="1"/>
    </xf>
    <xf numFmtId="0" fontId="2" fillId="0" borderId="2" xfId="6" applyFill="1" applyBorder="1" applyAlignment="1">
      <alignment horizontal="center" vertical="center"/>
    </xf>
    <xf numFmtId="4" fontId="2" fillId="0" borderId="1" xfId="6" applyNumberFormat="1" applyFill="1" applyBorder="1" applyAlignment="1">
      <alignment horizontal="center" vertical="center"/>
    </xf>
    <xf numFmtId="0" fontId="2" fillId="0" borderId="3" xfId="6" applyFill="1" applyBorder="1" applyAlignment="1">
      <alignment horizontal="center" vertical="center"/>
    </xf>
    <xf numFmtId="0" fontId="9" fillId="0" borderId="15" xfId="6" applyFont="1" applyFill="1" applyBorder="1" applyAlignment="1">
      <alignment horizontal="left" vertical="center"/>
    </xf>
    <xf numFmtId="4" fontId="9" fillId="0" borderId="4" xfId="6" applyNumberFormat="1" applyFont="1" applyFill="1" applyBorder="1" applyAlignment="1">
      <alignment horizontal="right" vertical="center"/>
    </xf>
    <xf numFmtId="164" fontId="9" fillId="0" borderId="5" xfId="6" applyNumberFormat="1" applyFont="1" applyFill="1" applyBorder="1"/>
    <xf numFmtId="0" fontId="22" fillId="0" borderId="0" xfId="6" applyFont="1" applyBorder="1"/>
    <xf numFmtId="4" fontId="8" fillId="0" borderId="0" xfId="6" applyNumberFormat="1" applyFont="1" applyFill="1" applyBorder="1" applyAlignment="1">
      <alignment horizontal="center" vertical="center" wrapText="1"/>
    </xf>
    <xf numFmtId="0" fontId="2" fillId="0" borderId="0" xfId="6" applyFill="1" applyBorder="1" applyAlignment="1">
      <alignment horizontal="center" vertical="center"/>
    </xf>
    <xf numFmtId="4" fontId="2" fillId="0" borderId="0" xfId="6" applyNumberFormat="1" applyFill="1" applyBorder="1" applyAlignment="1">
      <alignment horizontal="center" vertical="center"/>
    </xf>
    <xf numFmtId="0" fontId="39" fillId="0" borderId="0" xfId="6" applyFont="1"/>
    <xf numFmtId="164" fontId="10" fillId="0" borderId="32" xfId="6" applyNumberFormat="1" applyFont="1" applyFill="1" applyBorder="1" applyAlignment="1">
      <alignment vertical="center"/>
    </xf>
    <xf numFmtId="164" fontId="10" fillId="0" borderId="35" xfId="6" applyNumberFormat="1" applyFont="1" applyFill="1" applyBorder="1" applyAlignment="1">
      <alignment vertical="center"/>
    </xf>
    <xf numFmtId="0" fontId="39" fillId="0" borderId="0" xfId="6" applyFont="1" applyAlignment="1">
      <alignment vertical="center"/>
    </xf>
    <xf numFmtId="0" fontId="2" fillId="0" borderId="0" xfId="6" applyFont="1" applyFill="1" applyAlignment="1">
      <alignment horizontal="left" vertical="center"/>
    </xf>
    <xf numFmtId="4" fontId="9" fillId="0" borderId="0" xfId="6" applyNumberFormat="1" applyFont="1" applyFill="1"/>
    <xf numFmtId="0" fontId="22" fillId="0" borderId="0" xfId="6" applyFont="1" applyAlignment="1">
      <alignment vertical="center"/>
    </xf>
    <xf numFmtId="0" fontId="2" fillId="0" borderId="0" xfId="6" applyFont="1" applyAlignment="1">
      <alignment vertical="center"/>
    </xf>
    <xf numFmtId="4" fontId="22" fillId="0" borderId="0" xfId="6" applyNumberFormat="1" applyFont="1" applyAlignment="1">
      <alignment vertical="center"/>
    </xf>
    <xf numFmtId="0" fontId="42" fillId="0" borderId="0" xfId="6" applyFont="1"/>
    <xf numFmtId="0" fontId="10" fillId="0" borderId="0" xfId="6" applyFont="1" applyFill="1" applyBorder="1" applyAlignment="1">
      <alignment vertical="center" wrapText="1"/>
    </xf>
    <xf numFmtId="4" fontId="10" fillId="0" borderId="0" xfId="6" applyNumberFormat="1" applyFont="1" applyFill="1" applyBorder="1" applyAlignment="1">
      <alignment vertical="center"/>
    </xf>
    <xf numFmtId="4" fontId="11" fillId="0" borderId="0" xfId="6" applyNumberFormat="1" applyFont="1" applyFill="1" applyBorder="1" applyAlignment="1">
      <alignment horizontal="right" vertical="center"/>
    </xf>
    <xf numFmtId="164" fontId="10" fillId="0" borderId="0" xfId="6" applyNumberFormat="1" applyFont="1" applyFill="1" applyBorder="1" applyAlignment="1">
      <alignment vertical="center"/>
    </xf>
    <xf numFmtId="0" fontId="9" fillId="2" borderId="14" xfId="6" applyFont="1" applyFill="1" applyBorder="1" applyAlignment="1">
      <alignment horizontal="left" vertical="center"/>
    </xf>
    <xf numFmtId="0" fontId="2" fillId="0" borderId="14" xfId="6" applyBorder="1"/>
    <xf numFmtId="0" fontId="2" fillId="0" borderId="14" xfId="6" applyBorder="1" applyAlignment="1">
      <alignment horizontal="right"/>
    </xf>
    <xf numFmtId="0" fontId="2" fillId="0" borderId="14" xfId="6" applyFont="1" applyFill="1" applyBorder="1" applyAlignment="1">
      <alignment horizontal="right"/>
    </xf>
    <xf numFmtId="164" fontId="12" fillId="0" borderId="5" xfId="6" applyNumberFormat="1" applyFont="1" applyFill="1" applyBorder="1" applyAlignment="1">
      <alignment vertical="center"/>
    </xf>
    <xf numFmtId="0" fontId="26" fillId="0" borderId="0" xfId="6" applyFont="1" applyFill="1" applyAlignment="1">
      <alignment vertical="center"/>
    </xf>
    <xf numFmtId="0" fontId="2" fillId="2" borderId="0" xfId="6" applyFill="1"/>
    <xf numFmtId="0" fontId="26" fillId="0" borderId="0" xfId="6" applyFont="1" applyFill="1" applyBorder="1" applyAlignment="1">
      <alignment horizontal="center"/>
    </xf>
    <xf numFmtId="0" fontId="2" fillId="9" borderId="0" xfId="8" applyNumberFormat="1" applyFont="1" applyFill="1" applyBorder="1" applyAlignment="1">
      <alignment horizontal="center" vertical="center" wrapText="1"/>
    </xf>
    <xf numFmtId="0" fontId="34" fillId="9" borderId="0" xfId="6" applyFont="1" applyFill="1"/>
    <xf numFmtId="0" fontId="10" fillId="2" borderId="0" xfId="7" applyFont="1" applyFill="1" applyBorder="1" applyAlignment="1">
      <alignment vertical="center" wrapText="1"/>
    </xf>
    <xf numFmtId="4" fontId="10" fillId="2" borderId="0" xfId="6" applyNumberFormat="1" applyFont="1" applyFill="1" applyBorder="1" applyAlignment="1">
      <alignment vertical="center"/>
    </xf>
    <xf numFmtId="4" fontId="40" fillId="0" borderId="0" xfId="6" applyNumberFormat="1" applyFont="1" applyFill="1"/>
    <xf numFmtId="0" fontId="26" fillId="0" borderId="0" xfId="6" applyFont="1" applyFill="1" applyAlignment="1">
      <alignment vertical="top"/>
    </xf>
    <xf numFmtId="4" fontId="27" fillId="0" borderId="0" xfId="6" applyNumberFormat="1" applyFont="1" applyFill="1" applyAlignment="1">
      <alignment vertical="top"/>
    </xf>
    <xf numFmtId="0" fontId="7" fillId="2" borderId="8" xfId="6" applyFont="1" applyFill="1" applyBorder="1" applyAlignment="1">
      <alignment vertical="center" wrapText="1"/>
    </xf>
    <xf numFmtId="4" fontId="3" fillId="2" borderId="8" xfId="6" applyNumberFormat="1" applyFont="1" applyFill="1" applyBorder="1" applyAlignment="1">
      <alignment vertical="center"/>
    </xf>
    <xf numFmtId="164" fontId="15" fillId="0" borderId="8" xfId="6" applyNumberFormat="1" applyFont="1" applyFill="1" applyBorder="1" applyAlignment="1">
      <alignment vertical="center"/>
    </xf>
    <xf numFmtId="0" fontId="7" fillId="4" borderId="0" xfId="6" applyFont="1" applyFill="1" applyAlignment="1">
      <alignment horizontal="left"/>
    </xf>
    <xf numFmtId="0" fontId="24" fillId="0" borderId="0" xfId="6" applyFont="1"/>
    <xf numFmtId="0" fontId="7" fillId="0" borderId="0" xfId="6" applyFont="1"/>
    <xf numFmtId="0" fontId="8" fillId="2" borderId="0" xfId="6" applyFont="1" applyFill="1" applyBorder="1" applyAlignment="1">
      <alignment vertical="center" wrapText="1"/>
    </xf>
    <xf numFmtId="3" fontId="11" fillId="2" borderId="0" xfId="6" applyNumberFormat="1" applyFont="1" applyFill="1" applyBorder="1" applyAlignment="1">
      <alignment horizontal="right" vertical="center"/>
    </xf>
    <xf numFmtId="4" fontId="11" fillId="2" borderId="0" xfId="6" applyNumberFormat="1" applyFont="1" applyFill="1" applyBorder="1" applyAlignment="1">
      <alignment horizontal="right" vertical="center"/>
    </xf>
    <xf numFmtId="3" fontId="10" fillId="0" borderId="0" xfId="6" applyNumberFormat="1" applyFont="1" applyFill="1" applyBorder="1" applyAlignment="1">
      <alignment horizontal="left"/>
    </xf>
    <xf numFmtId="49" fontId="2" fillId="0" borderId="0" xfId="6" applyNumberFormat="1" applyFont="1" applyFill="1" applyBorder="1" applyAlignment="1">
      <alignment horizontal="left" vertical="center"/>
    </xf>
    <xf numFmtId="0" fontId="2" fillId="0" borderId="0" xfId="6" applyFont="1"/>
    <xf numFmtId="4" fontId="11" fillId="0" borderId="31" xfId="6" applyNumberFormat="1" applyFont="1" applyFill="1" applyBorder="1" applyAlignment="1">
      <alignment horizontal="right" vertical="center"/>
    </xf>
    <xf numFmtId="4" fontId="11" fillId="0" borderId="34" xfId="6" applyNumberFormat="1" applyFont="1" applyFill="1" applyBorder="1" applyAlignment="1">
      <alignment horizontal="right" vertical="center"/>
    </xf>
    <xf numFmtId="4" fontId="22" fillId="0" borderId="0" xfId="6" applyNumberFormat="1" applyFont="1"/>
    <xf numFmtId="3" fontId="10" fillId="0" borderId="0" xfId="6" applyNumberFormat="1" applyFont="1" applyFill="1" applyBorder="1" applyAlignment="1">
      <alignment horizontal="left" vertical="center"/>
    </xf>
    <xf numFmtId="0" fontId="22" fillId="0" borderId="0" xfId="6" applyFont="1" applyBorder="1" applyAlignment="1">
      <alignment vertical="center"/>
    </xf>
    <xf numFmtId="0" fontId="2" fillId="0" borderId="0" xfId="6" applyBorder="1" applyAlignment="1">
      <alignment vertical="center"/>
    </xf>
    <xf numFmtId="0" fontId="9" fillId="0" borderId="17" xfId="6" applyFont="1" applyFill="1" applyBorder="1" applyAlignment="1">
      <alignment horizontal="left" vertical="center"/>
    </xf>
    <xf numFmtId="4" fontId="9" fillId="0" borderId="10" xfId="6" applyNumberFormat="1" applyFont="1" applyFill="1" applyBorder="1" applyAlignment="1">
      <alignment horizontal="right" vertical="center"/>
    </xf>
    <xf numFmtId="164" fontId="12" fillId="0" borderId="11" xfId="6" applyNumberFormat="1" applyFont="1" applyFill="1" applyBorder="1" applyAlignment="1">
      <alignment vertical="center"/>
    </xf>
    <xf numFmtId="0" fontId="39" fillId="0" borderId="0" xfId="6" applyFont="1" applyFill="1"/>
    <xf numFmtId="0" fontId="44" fillId="0" borderId="0" xfId="6" applyFont="1"/>
    <xf numFmtId="4" fontId="43" fillId="0" borderId="0" xfId="6" applyNumberFormat="1" applyFont="1" applyFill="1"/>
    <xf numFmtId="4" fontId="27" fillId="0" borderId="0" xfId="6" applyNumberFormat="1" applyFont="1" applyFill="1"/>
    <xf numFmtId="0" fontId="2" fillId="0" borderId="0" xfId="6" applyBorder="1"/>
    <xf numFmtId="0" fontId="5" fillId="0" borderId="0" xfId="6" applyFont="1" applyFill="1" applyBorder="1" applyAlignment="1">
      <alignment horizontal="left"/>
    </xf>
    <xf numFmtId="0" fontId="2" fillId="0" borderId="0" xfId="6" applyFont="1" applyFill="1" applyAlignment="1">
      <alignment horizontal="left"/>
    </xf>
    <xf numFmtId="0" fontId="10" fillId="0" borderId="0" xfId="6" applyFont="1" applyBorder="1"/>
    <xf numFmtId="4" fontId="10" fillId="0" borderId="0" xfId="6" applyNumberFormat="1" applyFont="1" applyFill="1" applyBorder="1" applyAlignment="1">
      <alignment horizontal="right"/>
    </xf>
    <xf numFmtId="4" fontId="25" fillId="0" borderId="0" xfId="6" applyNumberFormat="1" applyFont="1" applyBorder="1"/>
    <xf numFmtId="0" fontId="7" fillId="6" borderId="0" xfId="6" applyFont="1" applyFill="1" applyAlignment="1">
      <alignment horizontal="left"/>
    </xf>
    <xf numFmtId="0" fontId="7" fillId="2" borderId="0" xfId="6" applyFont="1" applyFill="1" applyBorder="1" applyAlignment="1">
      <alignment vertical="center" wrapText="1"/>
    </xf>
    <xf numFmtId="4" fontId="3" fillId="2" borderId="0" xfId="6" applyNumberFormat="1" applyFont="1" applyFill="1" applyBorder="1" applyAlignment="1">
      <alignment vertical="center"/>
    </xf>
    <xf numFmtId="164" fontId="15" fillId="0" borderId="0" xfId="6" applyNumberFormat="1" applyFont="1" applyFill="1" applyBorder="1" applyAlignment="1">
      <alignment vertical="center"/>
    </xf>
    <xf numFmtId="4" fontId="9" fillId="0" borderId="13" xfId="6" applyNumberFormat="1" applyFont="1" applyFill="1" applyBorder="1" applyAlignment="1">
      <alignment horizontal="right" vertical="center"/>
    </xf>
    <xf numFmtId="164" fontId="10" fillId="8" borderId="5" xfId="6" applyNumberFormat="1" applyFont="1" applyFill="1" applyBorder="1" applyAlignment="1">
      <alignment vertical="center"/>
    </xf>
    <xf numFmtId="0" fontId="33" fillId="8" borderId="0" xfId="6" applyFont="1" applyFill="1"/>
    <xf numFmtId="0" fontId="22" fillId="8" borderId="0" xfId="6" applyFont="1" applyFill="1"/>
    <xf numFmtId="0" fontId="2" fillId="8" borderId="0" xfId="6" applyFont="1" applyFill="1"/>
    <xf numFmtId="164" fontId="10" fillId="8" borderId="35" xfId="6" applyNumberFormat="1" applyFont="1" applyFill="1" applyBorder="1" applyAlignment="1">
      <alignment vertical="center"/>
    </xf>
    <xf numFmtId="0" fontId="2" fillId="8" borderId="0" xfId="6" applyFont="1" applyFill="1" applyAlignment="1">
      <alignment vertical="center"/>
    </xf>
    <xf numFmtId="0" fontId="2" fillId="8" borderId="0" xfId="6" applyFill="1" applyBorder="1"/>
    <xf numFmtId="164" fontId="10" fillId="8" borderId="0" xfId="6" applyNumberFormat="1" applyFont="1" applyFill="1" applyBorder="1" applyAlignment="1">
      <alignment vertical="center"/>
    </xf>
    <xf numFmtId="0" fontId="5" fillId="8" borderId="0" xfId="6" applyFont="1" applyFill="1" applyBorder="1" applyAlignment="1">
      <alignment horizontal="left"/>
    </xf>
    <xf numFmtId="0" fontId="22" fillId="8" borderId="0" xfId="6" applyFont="1" applyFill="1" applyBorder="1"/>
    <xf numFmtId="0" fontId="9" fillId="8" borderId="0" xfId="6" applyFont="1" applyFill="1" applyBorder="1" applyAlignment="1">
      <alignment horizontal="left" vertical="center"/>
    </xf>
    <xf numFmtId="0" fontId="2" fillId="8" borderId="0" xfId="6" applyFill="1"/>
    <xf numFmtId="0" fontId="2" fillId="8" borderId="0" xfId="6" applyFont="1" applyFill="1" applyAlignment="1">
      <alignment horizontal="right"/>
    </xf>
    <xf numFmtId="0" fontId="8" fillId="8" borderId="7" xfId="6" applyFont="1" applyFill="1" applyBorder="1" applyAlignment="1">
      <alignment horizontal="center" vertical="center"/>
    </xf>
    <xf numFmtId="0" fontId="2" fillId="8" borderId="2" xfId="6" applyFill="1" applyBorder="1" applyAlignment="1">
      <alignment horizontal="center" vertical="center"/>
    </xf>
    <xf numFmtId="4" fontId="2" fillId="8" borderId="1" xfId="6" applyNumberFormat="1" applyFill="1" applyBorder="1" applyAlignment="1">
      <alignment horizontal="center" vertical="center"/>
    </xf>
    <xf numFmtId="0" fontId="2" fillId="8" borderId="3" xfId="6" applyFill="1" applyBorder="1" applyAlignment="1">
      <alignment horizontal="center" vertical="center"/>
    </xf>
    <xf numFmtId="0" fontId="9" fillId="8" borderId="17" xfId="6" applyFont="1" applyFill="1" applyBorder="1" applyAlignment="1">
      <alignment horizontal="left" vertical="center"/>
    </xf>
    <xf numFmtId="4" fontId="9" fillId="8" borderId="20" xfId="6" applyNumberFormat="1" applyFont="1" applyFill="1" applyBorder="1" applyAlignment="1">
      <alignment horizontal="right" vertical="center"/>
    </xf>
    <xf numFmtId="164" fontId="12" fillId="8" borderId="11" xfId="6" applyNumberFormat="1" applyFont="1" applyFill="1" applyBorder="1" applyAlignment="1">
      <alignment vertical="center"/>
    </xf>
    <xf numFmtId="0" fontId="26" fillId="8" borderId="0" xfId="6" applyFont="1" applyFill="1" applyAlignment="1">
      <alignment vertical="center"/>
    </xf>
    <xf numFmtId="0" fontId="10" fillId="8" borderId="0" xfId="6" applyFont="1" applyFill="1" applyBorder="1" applyAlignment="1">
      <alignment horizontal="left" vertical="center"/>
    </xf>
    <xf numFmtId="0" fontId="5" fillId="8" borderId="0" xfId="6" applyFont="1" applyFill="1" applyAlignment="1">
      <alignment horizontal="left"/>
    </xf>
    <xf numFmtId="4" fontId="6" fillId="0" borderId="0" xfId="6" applyNumberFormat="1" applyFont="1" applyFill="1"/>
    <xf numFmtId="0" fontId="7" fillId="3" borderId="0" xfId="6" applyFont="1" applyFill="1" applyAlignment="1">
      <alignment horizontal="left"/>
    </xf>
    <xf numFmtId="0" fontId="41" fillId="0" borderId="0" xfId="6" applyFont="1"/>
    <xf numFmtId="0" fontId="10" fillId="0" borderId="33" xfId="6" applyFont="1" applyFill="1" applyBorder="1" applyAlignment="1">
      <alignment vertical="center" wrapText="1"/>
    </xf>
    <xf numFmtId="4" fontId="12" fillId="0" borderId="0" xfId="6" applyNumberFormat="1" applyFont="1" applyAlignment="1">
      <alignment vertical="center"/>
    </xf>
    <xf numFmtId="0" fontId="2" fillId="0" borderId="0" xfId="6" applyFill="1" applyAlignment="1">
      <alignment horizontal="right"/>
    </xf>
    <xf numFmtId="4" fontId="2" fillId="0" borderId="0" xfId="6" applyNumberFormat="1" applyFill="1" applyAlignment="1">
      <alignment horizontal="right"/>
    </xf>
    <xf numFmtId="0" fontId="8" fillId="0" borderId="19" xfId="6" applyFont="1" applyFill="1" applyBorder="1" applyAlignment="1">
      <alignment horizontal="center" vertical="center"/>
    </xf>
    <xf numFmtId="4" fontId="9" fillId="0" borderId="10" xfId="6" applyNumberFormat="1" applyFont="1" applyFill="1" applyBorder="1" applyAlignment="1">
      <alignment horizontal="right"/>
    </xf>
    <xf numFmtId="164" fontId="12" fillId="0" borderId="38" xfId="6" applyNumberFormat="1" applyFont="1" applyFill="1" applyBorder="1" applyAlignment="1">
      <alignment vertical="center"/>
    </xf>
    <xf numFmtId="164" fontId="10" fillId="0" borderId="39" xfId="6" applyNumberFormat="1" applyFont="1" applyFill="1" applyBorder="1" applyAlignment="1">
      <alignment vertical="center"/>
    </xf>
    <xf numFmtId="0" fontId="2" fillId="0" borderId="0" xfId="6" applyFont="1" applyFill="1" applyBorder="1" applyAlignment="1">
      <alignment horizontal="left"/>
    </xf>
    <xf numFmtId="4" fontId="10" fillId="0" borderId="34" xfId="6" applyNumberFormat="1" applyFont="1" applyFill="1" applyBorder="1" applyAlignment="1">
      <alignment horizontal="right"/>
    </xf>
    <xf numFmtId="0" fontId="7" fillId="2" borderId="8" xfId="6" applyFont="1" applyFill="1" applyBorder="1" applyAlignment="1">
      <alignment horizontal="left" vertical="center"/>
    </xf>
    <xf numFmtId="4" fontId="3" fillId="2" borderId="8" xfId="6" applyNumberFormat="1" applyFont="1" applyFill="1" applyBorder="1" applyAlignment="1">
      <alignment horizontal="right" vertical="center"/>
    </xf>
    <xf numFmtId="0" fontId="9" fillId="0" borderId="12" xfId="6" applyFont="1" applyFill="1" applyBorder="1" applyAlignment="1">
      <alignment horizontal="left" vertical="center"/>
    </xf>
    <xf numFmtId="4" fontId="9" fillId="0" borderId="4" xfId="6" applyNumberFormat="1" applyFont="1" applyFill="1" applyBorder="1" applyAlignment="1">
      <alignment horizontal="right"/>
    </xf>
    <xf numFmtId="0" fontId="9" fillId="0" borderId="0" xfId="6" applyFont="1" applyFill="1" applyBorder="1" applyAlignment="1">
      <alignment horizontal="left"/>
    </xf>
    <xf numFmtId="4" fontId="9" fillId="0" borderId="0" xfId="6" applyNumberFormat="1" applyFont="1" applyFill="1" applyBorder="1" applyAlignment="1">
      <alignment horizontal="right"/>
    </xf>
    <xf numFmtId="164" fontId="9" fillId="0" borderId="0" xfId="6" applyNumberFormat="1" applyFont="1" applyFill="1" applyBorder="1" applyAlignment="1">
      <alignment horizontal="right"/>
    </xf>
    <xf numFmtId="0" fontId="7" fillId="2" borderId="0" xfId="6" applyFont="1" applyFill="1" applyBorder="1" applyAlignment="1">
      <alignment horizontal="left" vertical="center"/>
    </xf>
    <xf numFmtId="4" fontId="3" fillId="2" borderId="0" xfId="6" applyNumberFormat="1" applyFont="1" applyFill="1" applyBorder="1" applyAlignment="1">
      <alignment horizontal="right" vertical="center"/>
    </xf>
    <xf numFmtId="4" fontId="10" fillId="0" borderId="0" xfId="6" applyNumberFormat="1" applyFont="1" applyFill="1" applyBorder="1"/>
    <xf numFmtId="0" fontId="2" fillId="4" borderId="0" xfId="6" applyFont="1" applyFill="1" applyAlignment="1">
      <alignment horizontal="left"/>
    </xf>
    <xf numFmtId="0" fontId="13" fillId="0" borderId="0" xfId="6" applyFont="1" applyFill="1" applyBorder="1" applyAlignment="1">
      <alignment horizontal="left"/>
    </xf>
    <xf numFmtId="0" fontId="14" fillId="0" borderId="0" xfId="6" applyFont="1" applyFill="1" applyBorder="1"/>
    <xf numFmtId="0" fontId="2" fillId="3" borderId="0" xfId="6" applyFont="1" applyFill="1" applyAlignment="1">
      <alignment horizontal="left"/>
    </xf>
    <xf numFmtId="0" fontId="14" fillId="0" borderId="0" xfId="6" applyFont="1" applyFill="1" applyBorder="1" applyAlignment="1">
      <alignment horizontal="left"/>
    </xf>
    <xf numFmtId="164" fontId="14" fillId="0" borderId="0" xfId="6" applyNumberFormat="1" applyFont="1" applyFill="1" applyBorder="1"/>
    <xf numFmtId="0" fontId="2" fillId="6" borderId="0" xfId="6" applyFont="1" applyFill="1" applyAlignment="1">
      <alignment horizontal="left"/>
    </xf>
    <xf numFmtId="0" fontId="2" fillId="7" borderId="0" xfId="6" applyFont="1" applyFill="1" applyAlignment="1">
      <alignment horizontal="left"/>
    </xf>
    <xf numFmtId="0" fontId="15" fillId="0" borderId="8" xfId="6" applyFont="1" applyFill="1" applyBorder="1" applyAlignment="1">
      <alignment horizontal="left"/>
    </xf>
    <xf numFmtId="4" fontId="12" fillId="0" borderId="8" xfId="6" applyNumberFormat="1" applyFont="1" applyFill="1" applyBorder="1"/>
    <xf numFmtId="164" fontId="12" fillId="0" borderId="8" xfId="6" applyNumberFormat="1" applyFont="1" applyFill="1" applyBorder="1"/>
    <xf numFmtId="4" fontId="39" fillId="0" borderId="0" xfId="6" applyNumberFormat="1" applyFont="1"/>
    <xf numFmtId="0" fontId="38" fillId="0" borderId="0" xfId="6" applyFont="1"/>
    <xf numFmtId="4" fontId="44" fillId="0" borderId="0" xfId="6" applyNumberFormat="1" applyFont="1" applyFill="1"/>
    <xf numFmtId="4" fontId="26" fillId="0" borderId="0" xfId="6" applyNumberFormat="1" applyFont="1" applyFill="1"/>
    <xf numFmtId="4" fontId="6" fillId="0" borderId="0" xfId="6" applyNumberFormat="1" applyFont="1"/>
    <xf numFmtId="0" fontId="2" fillId="0" borderId="0" xfId="6" applyFill="1" applyBorder="1" applyAlignment="1">
      <alignment horizontal="center"/>
    </xf>
    <xf numFmtId="4" fontId="6" fillId="0" borderId="0" xfId="6" applyNumberFormat="1" applyFont="1" applyFill="1" applyBorder="1" applyAlignment="1">
      <alignment horizontal="right"/>
    </xf>
    <xf numFmtId="0" fontId="2" fillId="0" borderId="0" xfId="6" applyFont="1" applyFill="1" applyBorder="1" applyAlignment="1">
      <alignment horizontal="center"/>
    </xf>
    <xf numFmtId="4" fontId="2" fillId="0" borderId="0" xfId="6" applyNumberFormat="1" applyFill="1" applyBorder="1" applyAlignment="1">
      <alignment horizontal="right"/>
    </xf>
    <xf numFmtId="0" fontId="2" fillId="0" borderId="0" xfId="6" applyFont="1" applyFill="1" applyAlignment="1">
      <alignment horizontal="center"/>
    </xf>
    <xf numFmtId="4" fontId="10" fillId="0" borderId="26" xfId="6" applyNumberFormat="1" applyFont="1" applyFill="1" applyBorder="1" applyAlignment="1">
      <alignment horizontal="right" vertical="center"/>
    </xf>
    <xf numFmtId="164" fontId="10" fillId="0" borderId="27" xfId="6" applyNumberFormat="1" applyFont="1" applyFill="1" applyBorder="1" applyAlignment="1">
      <alignment vertical="center"/>
    </xf>
    <xf numFmtId="4" fontId="3" fillId="8" borderId="8" xfId="6" applyNumberFormat="1" applyFont="1" applyFill="1" applyBorder="1" applyAlignment="1">
      <alignment vertical="center"/>
    </xf>
    <xf numFmtId="0" fontId="46" fillId="0" borderId="0" xfId="1" applyFont="1" applyAlignment="1">
      <alignment vertical="center"/>
    </xf>
    <xf numFmtId="4" fontId="47" fillId="0" borderId="0" xfId="6" applyNumberFormat="1" applyFont="1" applyFill="1"/>
    <xf numFmtId="4" fontId="33" fillId="8" borderId="0" xfId="6" applyNumberFormat="1" applyFont="1" applyFill="1" applyBorder="1"/>
    <xf numFmtId="0" fontId="48" fillId="0" borderId="0" xfId="6" applyFont="1"/>
    <xf numFmtId="0" fontId="49" fillId="8" borderId="0" xfId="6" applyFont="1" applyFill="1"/>
    <xf numFmtId="4" fontId="49" fillId="0" borderId="0" xfId="6" applyNumberFormat="1" applyFont="1"/>
    <xf numFmtId="4" fontId="10" fillId="0" borderId="26" xfId="1" applyNumberFormat="1" applyFont="1" applyFill="1" applyBorder="1" applyAlignment="1">
      <alignment vertical="center"/>
    </xf>
    <xf numFmtId="4" fontId="10" fillId="0" borderId="28" xfId="1" applyNumberFormat="1" applyFont="1" applyFill="1" applyBorder="1" applyAlignment="1">
      <alignment horizontal="right" vertical="center"/>
    </xf>
    <xf numFmtId="0" fontId="10" fillId="0" borderId="25" xfId="1" applyFont="1" applyFill="1" applyBorder="1" applyAlignment="1">
      <alignment horizontal="left" vertical="center" wrapText="1"/>
    </xf>
    <xf numFmtId="4" fontId="10" fillId="0" borderId="29" xfId="1" applyNumberFormat="1" applyFont="1" applyFill="1" applyBorder="1" applyAlignment="1">
      <alignment horizontal="right" vertical="center"/>
    </xf>
    <xf numFmtId="4" fontId="10" fillId="0" borderId="22" xfId="1" applyNumberFormat="1" applyFont="1" applyFill="1" applyBorder="1" applyAlignment="1">
      <alignment horizontal="right" vertical="center"/>
    </xf>
    <xf numFmtId="4" fontId="10" fillId="0" borderId="26" xfId="1" applyNumberFormat="1" applyFont="1" applyFill="1" applyBorder="1" applyAlignment="1">
      <alignment horizontal="right"/>
    </xf>
    <xf numFmtId="4" fontId="10" fillId="0" borderId="22" xfId="1" applyNumberFormat="1" applyFont="1" applyFill="1" applyBorder="1"/>
    <xf numFmtId="4" fontId="10" fillId="0" borderId="26" xfId="1" applyNumberFormat="1" applyFont="1" applyFill="1" applyBorder="1"/>
    <xf numFmtId="0" fontId="10" fillId="0" borderId="21" xfId="6" applyFont="1" applyFill="1" applyBorder="1" applyAlignment="1">
      <alignment vertical="center" wrapText="1"/>
    </xf>
    <xf numFmtId="4" fontId="11" fillId="0" borderId="22" xfId="6" applyNumberFormat="1" applyFont="1" applyFill="1" applyBorder="1" applyAlignment="1">
      <alignment vertical="center"/>
    </xf>
    <xf numFmtId="164" fontId="10" fillId="0" borderId="24" xfId="6" applyNumberFormat="1" applyFont="1" applyFill="1" applyBorder="1" applyAlignment="1">
      <alignment vertical="center"/>
    </xf>
    <xf numFmtId="4" fontId="11" fillId="0" borderId="22" xfId="6" applyNumberFormat="1" applyFont="1" applyFill="1" applyBorder="1" applyAlignment="1">
      <alignment horizontal="right" vertical="center"/>
    </xf>
    <xf numFmtId="4" fontId="11" fillId="0" borderId="26" xfId="6" applyNumberFormat="1" applyFont="1" applyFill="1" applyBorder="1" applyAlignment="1">
      <alignment horizontal="right" vertical="center"/>
    </xf>
    <xf numFmtId="0" fontId="10" fillId="8" borderId="21" xfId="6" applyFont="1" applyFill="1" applyBorder="1" applyAlignment="1">
      <alignment vertical="center" wrapText="1"/>
    </xf>
    <xf numFmtId="164" fontId="10" fillId="8" borderId="24" xfId="6" applyNumberFormat="1" applyFont="1" applyFill="1" applyBorder="1" applyAlignment="1">
      <alignment vertical="center"/>
    </xf>
    <xf numFmtId="4" fontId="10" fillId="0" borderId="28" xfId="6" applyNumberFormat="1" applyFont="1" applyFill="1" applyBorder="1" applyAlignment="1">
      <alignment vertical="center"/>
    </xf>
    <xf numFmtId="0" fontId="7" fillId="2" borderId="40" xfId="6" applyFont="1" applyFill="1" applyBorder="1" applyAlignment="1">
      <alignment horizontal="left" vertical="center"/>
    </xf>
    <xf numFmtId="164" fontId="15" fillId="0" borderId="41" xfId="6" applyNumberFormat="1" applyFont="1" applyFill="1" applyBorder="1" applyAlignment="1">
      <alignment vertical="center"/>
    </xf>
    <xf numFmtId="0" fontId="16" fillId="0" borderId="12" xfId="6" applyFont="1" applyFill="1" applyBorder="1" applyAlignment="1">
      <alignment horizontal="left" vertical="center"/>
    </xf>
    <xf numFmtId="4" fontId="10" fillId="0" borderId="26" xfId="6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wrapText="1"/>
    </xf>
    <xf numFmtId="0" fontId="22" fillId="0" borderId="0" xfId="1" applyFont="1" applyAlignment="1">
      <alignment horizontal="right"/>
    </xf>
    <xf numFmtId="0" fontId="35" fillId="0" borderId="0" xfId="1" applyFont="1" applyAlignment="1">
      <alignment horizontal="right"/>
    </xf>
    <xf numFmtId="0" fontId="34" fillId="9" borderId="0" xfId="0" applyFont="1" applyFill="1" applyAlignment="1">
      <alignment horizontal="right"/>
    </xf>
    <xf numFmtId="0" fontId="33" fillId="0" borderId="0" xfId="0" applyFont="1" applyFill="1" applyAlignment="1">
      <alignment horizontal="right"/>
    </xf>
    <xf numFmtId="0" fontId="39" fillId="0" borderId="0" xfId="0" applyFont="1" applyFill="1" applyAlignment="1">
      <alignment horizontal="right"/>
    </xf>
    <xf numFmtId="0" fontId="44" fillId="0" borderId="0" xfId="1" applyFont="1" applyAlignment="1">
      <alignment horizontal="right"/>
    </xf>
    <xf numFmtId="0" fontId="26" fillId="0" borderId="0" xfId="0" applyFont="1" applyFill="1" applyAlignment="1">
      <alignment horizontal="right" vertical="center"/>
    </xf>
    <xf numFmtId="0" fontId="30" fillId="0" borderId="42" xfId="1" applyFont="1" applyFill="1" applyBorder="1"/>
    <xf numFmtId="0" fontId="29" fillId="0" borderId="43" xfId="1" applyFont="1" applyFill="1" applyBorder="1"/>
    <xf numFmtId="0" fontId="30" fillId="0" borderId="46" xfId="1" applyFont="1" applyFill="1" applyBorder="1"/>
    <xf numFmtId="4" fontId="30" fillId="0" borderId="47" xfId="1" applyNumberFormat="1" applyFont="1" applyFill="1" applyBorder="1" applyAlignment="1">
      <alignment horizontal="right"/>
    </xf>
    <xf numFmtId="4" fontId="29" fillId="0" borderId="48" xfId="1" applyNumberFormat="1" applyFont="1" applyFill="1" applyBorder="1" applyAlignment="1">
      <alignment horizontal="right"/>
    </xf>
    <xf numFmtId="4" fontId="30" fillId="0" borderId="49" xfId="1" applyNumberFormat="1" applyFont="1" applyFill="1" applyBorder="1" applyAlignment="1">
      <alignment horizontal="right"/>
    </xf>
    <xf numFmtId="0" fontId="48" fillId="0" borderId="0" xfId="1" applyFont="1" applyAlignment="1">
      <alignment horizontal="right"/>
    </xf>
    <xf numFmtId="4" fontId="50" fillId="0" borderId="0" xfId="1" applyNumberFormat="1" applyFont="1"/>
    <xf numFmtId="4" fontId="17" fillId="0" borderId="5" xfId="1" applyNumberFormat="1" applyFont="1" applyFill="1" applyBorder="1"/>
    <xf numFmtId="4" fontId="3" fillId="0" borderId="16" xfId="1" applyNumberFormat="1" applyFont="1" applyBorder="1"/>
    <xf numFmtId="0" fontId="4" fillId="0" borderId="14" xfId="1" applyFill="1" applyBorder="1"/>
    <xf numFmtId="4" fontId="3" fillId="0" borderId="8" xfId="1" applyNumberFormat="1" applyFont="1" applyFill="1" applyBorder="1" applyAlignment="1">
      <alignment vertical="center"/>
    </xf>
    <xf numFmtId="4" fontId="10" fillId="0" borderId="26" xfId="1" applyNumberFormat="1" applyFont="1" applyFill="1" applyBorder="1" applyAlignment="1">
      <alignment horizontal="right" vertical="center"/>
    </xf>
    <xf numFmtId="0" fontId="4" fillId="0" borderId="0" xfId="1" applyFill="1" applyBorder="1"/>
    <xf numFmtId="4" fontId="25" fillId="0" borderId="0" xfId="1" applyNumberFormat="1" applyFont="1" applyFill="1" applyBorder="1"/>
    <xf numFmtId="4" fontId="3" fillId="0" borderId="0" xfId="1" applyNumberFormat="1" applyFont="1" applyFill="1" applyBorder="1" applyAlignment="1">
      <alignment vertical="center"/>
    </xf>
    <xf numFmtId="4" fontId="10" fillId="0" borderId="28" xfId="1" applyNumberFormat="1" applyFont="1" applyFill="1" applyBorder="1" applyAlignment="1">
      <alignment horizontal="right"/>
    </xf>
    <xf numFmtId="4" fontId="9" fillId="0" borderId="20" xfId="1" applyNumberFormat="1" applyFont="1" applyFill="1" applyBorder="1" applyAlignment="1">
      <alignment horizontal="right" vertical="center"/>
    </xf>
    <xf numFmtId="4" fontId="10" fillId="0" borderId="22" xfId="6" applyNumberFormat="1" applyFont="1" applyFill="1" applyBorder="1" applyAlignment="1">
      <alignment vertical="center"/>
    </xf>
    <xf numFmtId="4" fontId="10" fillId="0" borderId="31" xfId="6" applyNumberFormat="1" applyFont="1" applyFill="1" applyBorder="1" applyAlignment="1">
      <alignment vertical="center"/>
    </xf>
    <xf numFmtId="4" fontId="10" fillId="0" borderId="34" xfId="6" applyNumberFormat="1" applyFont="1" applyFill="1" applyBorder="1" applyAlignment="1">
      <alignment vertical="center"/>
    </xf>
    <xf numFmtId="4" fontId="10" fillId="0" borderId="26" xfId="6" applyNumberFormat="1" applyFont="1" applyFill="1" applyBorder="1" applyAlignment="1">
      <alignment vertical="center"/>
    </xf>
    <xf numFmtId="0" fontId="2" fillId="0" borderId="14" xfId="6" applyFill="1" applyBorder="1"/>
    <xf numFmtId="4" fontId="3" fillId="0" borderId="8" xfId="6" applyNumberFormat="1" applyFont="1" applyFill="1" applyBorder="1" applyAlignment="1">
      <alignment vertical="center"/>
    </xf>
    <xf numFmtId="0" fontId="2" fillId="0" borderId="0" xfId="6" applyFill="1" applyBorder="1"/>
    <xf numFmtId="4" fontId="25" fillId="0" borderId="0" xfId="6" applyNumberFormat="1" applyFont="1" applyFill="1" applyBorder="1"/>
    <xf numFmtId="4" fontId="3" fillId="0" borderId="0" xfId="6" applyNumberFormat="1" applyFont="1" applyFill="1" applyBorder="1" applyAlignment="1">
      <alignment vertical="center"/>
    </xf>
    <xf numFmtId="4" fontId="9" fillId="0" borderId="20" xfId="6" applyNumberFormat="1" applyFont="1" applyFill="1" applyBorder="1" applyAlignment="1">
      <alignment horizontal="right" vertical="center"/>
    </xf>
    <xf numFmtId="3" fontId="2" fillId="0" borderId="0" xfId="6" applyNumberFormat="1" applyFill="1" applyAlignment="1">
      <alignment horizontal="right"/>
    </xf>
    <xf numFmtId="4" fontId="3" fillId="0" borderId="8" xfId="6" applyNumberFormat="1" applyFont="1" applyFill="1" applyBorder="1" applyAlignment="1">
      <alignment horizontal="right" vertical="center"/>
    </xf>
    <xf numFmtId="4" fontId="10" fillId="0" borderId="34" xfId="1" applyNumberFormat="1" applyFont="1" applyFill="1" applyBorder="1" applyAlignment="1">
      <alignment vertical="center"/>
    </xf>
    <xf numFmtId="164" fontId="10" fillId="0" borderId="35" xfId="1" applyNumberFormat="1" applyFont="1" applyFill="1" applyBorder="1" applyAlignment="1">
      <alignment vertical="center"/>
    </xf>
    <xf numFmtId="0" fontId="10" fillId="0" borderId="33" xfId="1" applyFont="1" applyFill="1" applyBorder="1" applyAlignment="1">
      <alignment vertical="center" wrapText="1"/>
    </xf>
    <xf numFmtId="4" fontId="11" fillId="0" borderId="34" xfId="1" applyNumberFormat="1" applyFont="1" applyFill="1" applyBorder="1" applyAlignment="1">
      <alignment horizontal="right" vertical="center"/>
    </xf>
    <xf numFmtId="0" fontId="10" fillId="0" borderId="33" xfId="1" applyFont="1" applyFill="1" applyBorder="1" applyAlignment="1">
      <alignment wrapText="1"/>
    </xf>
    <xf numFmtId="4" fontId="10" fillId="0" borderId="34" xfId="1" applyNumberFormat="1" applyFont="1" applyFill="1" applyBorder="1" applyAlignment="1">
      <alignment horizontal="right" vertical="center"/>
    </xf>
    <xf numFmtId="0" fontId="10" fillId="0" borderId="33" xfId="1" applyFont="1" applyFill="1" applyBorder="1"/>
    <xf numFmtId="4" fontId="10" fillId="0" borderId="34" xfId="1" applyNumberFormat="1" applyFont="1" applyFill="1" applyBorder="1" applyAlignment="1">
      <alignment horizontal="right"/>
    </xf>
    <xf numFmtId="0" fontId="10" fillId="8" borderId="33" xfId="1" applyFont="1" applyFill="1" applyBorder="1"/>
    <xf numFmtId="4" fontId="10" fillId="8" borderId="34" xfId="1" applyNumberFormat="1" applyFont="1" applyFill="1" applyBorder="1" applyAlignment="1">
      <alignment horizontal="right"/>
    </xf>
    <xf numFmtId="4" fontId="10" fillId="8" borderId="37" xfId="1" applyNumberFormat="1" applyFont="1" applyFill="1" applyBorder="1" applyAlignment="1">
      <alignment horizontal="right"/>
    </xf>
    <xf numFmtId="164" fontId="10" fillId="8" borderId="35" xfId="1" applyNumberFormat="1" applyFont="1" applyFill="1" applyBorder="1" applyAlignment="1">
      <alignment vertical="center"/>
    </xf>
    <xf numFmtId="4" fontId="10" fillId="0" borderId="37" xfId="1" applyNumberFormat="1" applyFont="1" applyFill="1" applyBorder="1"/>
    <xf numFmtId="0" fontId="9" fillId="0" borderId="30" xfId="1" applyFont="1" applyFill="1" applyBorder="1" applyAlignment="1">
      <alignment horizontal="left" vertical="center"/>
    </xf>
    <xf numFmtId="4" fontId="9" fillId="0" borderId="36" xfId="1" applyNumberFormat="1" applyFont="1" applyFill="1" applyBorder="1" applyAlignment="1">
      <alignment horizontal="right" vertical="center"/>
    </xf>
    <xf numFmtId="164" fontId="12" fillId="0" borderId="32" xfId="1" applyNumberFormat="1" applyFont="1" applyFill="1" applyBorder="1" applyAlignment="1">
      <alignment vertical="center"/>
    </xf>
    <xf numFmtId="4" fontId="20" fillId="0" borderId="0" xfId="1" applyNumberFormat="1" applyFont="1"/>
    <xf numFmtId="0" fontId="2" fillId="0" borderId="0" xfId="6" applyNumberFormat="1" applyFont="1" applyFill="1" applyBorder="1" applyAlignment="1">
      <alignment horizontal="left" vertical="center"/>
    </xf>
    <xf numFmtId="4" fontId="4" fillId="0" borderId="0" xfId="1" applyNumberFormat="1" applyFont="1"/>
    <xf numFmtId="0" fontId="3" fillId="0" borderId="0" xfId="1" applyFont="1" applyBorder="1" applyAlignment="1">
      <alignment horizontal="left"/>
    </xf>
    <xf numFmtId="4" fontId="23" fillId="0" borderId="0" xfId="1" applyNumberFormat="1" applyFont="1"/>
    <xf numFmtId="4" fontId="30" fillId="0" borderId="0" xfId="1" applyNumberFormat="1" applyFont="1" applyFill="1"/>
    <xf numFmtId="4" fontId="17" fillId="0" borderId="0" xfId="1" applyNumberFormat="1" applyFont="1"/>
    <xf numFmtId="0" fontId="10" fillId="0" borderId="30" xfId="1" applyFont="1" applyFill="1" applyBorder="1" applyAlignment="1">
      <alignment vertical="center" wrapText="1"/>
    </xf>
    <xf numFmtId="4" fontId="10" fillId="0" borderId="31" xfId="1" applyNumberFormat="1" applyFont="1" applyFill="1" applyBorder="1" applyAlignment="1">
      <alignment vertical="center"/>
    </xf>
    <xf numFmtId="164" fontId="10" fillId="0" borderId="32" xfId="1" applyNumberFormat="1" applyFont="1" applyFill="1" applyBorder="1" applyAlignment="1">
      <alignment vertical="center"/>
    </xf>
    <xf numFmtId="0" fontId="10" fillId="0" borderId="30" xfId="1" applyFont="1" applyFill="1" applyBorder="1"/>
    <xf numFmtId="4" fontId="10" fillId="0" borderId="31" xfId="1" applyNumberFormat="1" applyFont="1" applyFill="1" applyBorder="1"/>
    <xf numFmtId="4" fontId="10" fillId="0" borderId="31" xfId="1" applyNumberFormat="1" applyFont="1" applyFill="1" applyBorder="1" applyAlignment="1">
      <alignment horizontal="right"/>
    </xf>
    <xf numFmtId="4" fontId="28" fillId="0" borderId="0" xfId="1" applyNumberFormat="1" applyFont="1" applyFill="1"/>
    <xf numFmtId="0" fontId="2" fillId="0" borderId="21" xfId="6" applyBorder="1" applyAlignment="1">
      <alignment vertical="center" wrapText="1"/>
    </xf>
    <xf numFmtId="0" fontId="49" fillId="0" borderId="0" xfId="6" applyFont="1"/>
    <xf numFmtId="4" fontId="10" fillId="0" borderId="22" xfId="6" applyNumberFormat="1" applyFont="1" applyFill="1" applyBorder="1" applyAlignment="1">
      <alignment horizontal="right"/>
    </xf>
    <xf numFmtId="4" fontId="54" fillId="0" borderId="0" xfId="6" applyNumberFormat="1" applyFont="1" applyFill="1"/>
    <xf numFmtId="4" fontId="55" fillId="0" borderId="0" xfId="6" applyNumberFormat="1" applyFont="1" applyFill="1"/>
    <xf numFmtId="4" fontId="49" fillId="8" borderId="0" xfId="6" applyNumberFormat="1" applyFont="1" applyFill="1" applyBorder="1"/>
    <xf numFmtId="4" fontId="10" fillId="0" borderId="34" xfId="6" applyNumberFormat="1" applyFont="1" applyFill="1" applyBorder="1"/>
    <xf numFmtId="4" fontId="10" fillId="0" borderId="28" xfId="6" applyNumberFormat="1" applyFont="1" applyFill="1" applyBorder="1" applyAlignment="1">
      <alignment horizontal="right"/>
    </xf>
    <xf numFmtId="4" fontId="10" fillId="0" borderId="28" xfId="6" applyNumberFormat="1" applyFont="1" applyFill="1" applyBorder="1" applyAlignment="1">
      <alignment horizontal="right" vertical="center"/>
    </xf>
    <xf numFmtId="4" fontId="10" fillId="0" borderId="36" xfId="6" applyNumberFormat="1" applyFont="1" applyFill="1" applyBorder="1" applyAlignment="1">
      <alignment horizontal="right"/>
    </xf>
    <xf numFmtId="4" fontId="10" fillId="0" borderId="36" xfId="6" applyNumberFormat="1" applyFont="1" applyFill="1" applyBorder="1" applyAlignment="1">
      <alignment horizontal="right" vertical="center"/>
    </xf>
    <xf numFmtId="0" fontId="6" fillId="0" borderId="0" xfId="6" applyFont="1"/>
    <xf numFmtId="0" fontId="53" fillId="0" borderId="0" xfId="6" applyFont="1"/>
    <xf numFmtId="4" fontId="53" fillId="0" borderId="0" xfId="6" applyNumberFormat="1" applyFont="1"/>
    <xf numFmtId="0" fontId="17" fillId="0" borderId="42" xfId="1" applyFont="1" applyBorder="1" applyAlignment="1">
      <alignment horizontal="center"/>
    </xf>
    <xf numFmtId="0" fontId="17" fillId="0" borderId="53" xfId="1" applyFont="1" applyBorder="1" applyAlignment="1">
      <alignment horizontal="center"/>
    </xf>
    <xf numFmtId="0" fontId="30" fillId="0" borderId="43" xfId="1" applyFont="1" applyFill="1" applyBorder="1"/>
    <xf numFmtId="4" fontId="30" fillId="0" borderId="55" xfId="1" applyNumberFormat="1" applyFont="1" applyFill="1" applyBorder="1" applyAlignment="1">
      <alignment horizontal="right"/>
    </xf>
    <xf numFmtId="0" fontId="30" fillId="0" borderId="54" xfId="1" applyFont="1" applyFill="1" applyBorder="1"/>
    <xf numFmtId="4" fontId="30" fillId="0" borderId="54" xfId="1" applyNumberFormat="1" applyFont="1" applyFill="1" applyBorder="1" applyAlignment="1">
      <alignment horizontal="right"/>
    </xf>
    <xf numFmtId="4" fontId="21" fillId="0" borderId="0" xfId="1" applyNumberFormat="1" applyFont="1"/>
    <xf numFmtId="0" fontId="4" fillId="0" borderId="0" xfId="1" applyFont="1" applyBorder="1"/>
    <xf numFmtId="4" fontId="52" fillId="0" borderId="0" xfId="1" applyNumberFormat="1" applyFont="1" applyBorder="1"/>
    <xf numFmtId="0" fontId="30" fillId="0" borderId="0" xfId="1" applyFont="1" applyFill="1" applyBorder="1"/>
    <xf numFmtId="4" fontId="30" fillId="0" borderId="0" xfId="1" applyNumberFormat="1" applyFont="1" applyFill="1" applyBorder="1" applyAlignment="1">
      <alignment horizontal="right"/>
    </xf>
    <xf numFmtId="0" fontId="17" fillId="0" borderId="0" xfId="1" applyFont="1" applyBorder="1" applyAlignment="1">
      <alignment horizontal="center"/>
    </xf>
    <xf numFmtId="0" fontId="29" fillId="0" borderId="0" xfId="1" applyFont="1" applyFill="1" applyBorder="1"/>
    <xf numFmtId="4" fontId="29" fillId="0" borderId="0" xfId="1" applyNumberFormat="1" applyFont="1" applyFill="1" applyBorder="1" applyAlignment="1">
      <alignment horizontal="right"/>
    </xf>
    <xf numFmtId="0" fontId="17" fillId="0" borderId="0" xfId="1" applyFont="1" applyBorder="1"/>
    <xf numFmtId="4" fontId="17" fillId="0" borderId="5" xfId="1" applyNumberFormat="1" applyFont="1" applyBorder="1"/>
    <xf numFmtId="0" fontId="10" fillId="0" borderId="30" xfId="1" applyFont="1" applyFill="1" applyBorder="1" applyAlignment="1">
      <alignment horizontal="left" vertical="center" wrapText="1"/>
    </xf>
    <xf numFmtId="0" fontId="10" fillId="0" borderId="21" xfId="1" applyFont="1" applyFill="1" applyBorder="1" applyAlignment="1">
      <alignment horizontal="left" vertical="center" wrapText="1"/>
    </xf>
    <xf numFmtId="0" fontId="10" fillId="8" borderId="30" xfId="1" applyFont="1" applyFill="1" applyBorder="1" applyAlignment="1">
      <alignment vertical="center" wrapText="1"/>
    </xf>
    <xf numFmtId="4" fontId="10" fillId="8" borderId="26" xfId="1" applyNumberFormat="1" applyFont="1" applyFill="1" applyBorder="1" applyAlignment="1">
      <alignment horizontal="right"/>
    </xf>
    <xf numFmtId="4" fontId="10" fillId="8" borderId="26" xfId="1" applyNumberFormat="1" applyFont="1" applyFill="1" applyBorder="1" applyAlignment="1">
      <alignment horizontal="right" vertical="center"/>
    </xf>
    <xf numFmtId="0" fontId="10" fillId="0" borderId="30" xfId="6" applyFont="1" applyFill="1" applyBorder="1" applyAlignment="1">
      <alignment horizontal="left" vertical="center" wrapText="1"/>
    </xf>
    <xf numFmtId="0" fontId="48" fillId="0" borderId="0" xfId="6" applyFont="1" applyAlignment="1">
      <alignment vertical="center"/>
    </xf>
    <xf numFmtId="0" fontId="16" fillId="0" borderId="25" xfId="6" applyFont="1" applyFill="1" applyBorder="1" applyAlignment="1">
      <alignment vertical="center"/>
    </xf>
    <xf numFmtId="4" fontId="10" fillId="0" borderId="31" xfId="6" applyNumberFormat="1" applyFont="1" applyFill="1" applyBorder="1" applyAlignment="1">
      <alignment horizontal="right"/>
    </xf>
    <xf numFmtId="0" fontId="10" fillId="0" borderId="18" xfId="1" applyFont="1" applyFill="1" applyBorder="1" applyAlignment="1">
      <alignment wrapText="1"/>
    </xf>
    <xf numFmtId="0" fontId="2" fillId="0" borderId="0" xfId="1" applyFont="1" applyAlignment="1">
      <alignment horizontal="right"/>
    </xf>
    <xf numFmtId="4" fontId="10" fillId="0" borderId="37" xfId="1" applyNumberFormat="1" applyFont="1" applyFill="1" applyBorder="1" applyAlignment="1">
      <alignment horizontal="right"/>
    </xf>
    <xf numFmtId="0" fontId="10" fillId="0" borderId="30" xfId="1" applyFont="1" applyFill="1" applyBorder="1" applyAlignment="1">
      <alignment wrapText="1"/>
    </xf>
    <xf numFmtId="4" fontId="11" fillId="0" borderId="31" xfId="1" applyNumberFormat="1" applyFont="1" applyFill="1" applyBorder="1" applyAlignment="1">
      <alignment horizontal="right" vertical="center"/>
    </xf>
    <xf numFmtId="4" fontId="10" fillId="8" borderId="31" xfId="1" applyNumberFormat="1" applyFont="1" applyFill="1" applyBorder="1" applyAlignment="1">
      <alignment horizontal="right"/>
    </xf>
    <xf numFmtId="4" fontId="10" fillId="8" borderId="31" xfId="1" applyNumberFormat="1" applyFont="1" applyFill="1" applyBorder="1" applyAlignment="1">
      <alignment horizontal="right" vertical="center"/>
    </xf>
    <xf numFmtId="4" fontId="11" fillId="0" borderId="50" xfId="1" applyNumberFormat="1" applyFont="1" applyFill="1" applyBorder="1" applyAlignment="1">
      <alignment horizontal="right" vertical="center"/>
    </xf>
    <xf numFmtId="4" fontId="10" fillId="8" borderId="26" xfId="1" applyNumberFormat="1" applyFont="1" applyFill="1" applyBorder="1"/>
    <xf numFmtId="0" fontId="10" fillId="8" borderId="25" xfId="6" applyFont="1" applyFill="1" applyBorder="1" applyAlignment="1">
      <alignment vertical="center" wrapText="1"/>
    </xf>
    <xf numFmtId="0" fontId="16" fillId="0" borderId="21" xfId="6" applyFont="1" applyFill="1" applyBorder="1" applyAlignment="1">
      <alignment vertical="center"/>
    </xf>
    <xf numFmtId="4" fontId="3" fillId="0" borderId="0" xfId="1" applyNumberFormat="1" applyFont="1"/>
    <xf numFmtId="4" fontId="10" fillId="0" borderId="31" xfId="1" applyNumberFormat="1" applyFont="1" applyFill="1" applyBorder="1" applyAlignment="1">
      <alignment horizontal="right" vertical="center"/>
    </xf>
    <xf numFmtId="4" fontId="9" fillId="0" borderId="31" xfId="1" applyNumberFormat="1" applyFont="1" applyFill="1" applyBorder="1" applyAlignment="1">
      <alignment horizontal="right" vertical="center"/>
    </xf>
    <xf numFmtId="4" fontId="30" fillId="0" borderId="0" xfId="1" applyNumberFormat="1" applyFont="1"/>
    <xf numFmtId="4" fontId="10" fillId="0" borderId="9" xfId="6" applyNumberFormat="1" applyFont="1" applyFill="1" applyBorder="1" applyAlignment="1">
      <alignment vertical="center"/>
    </xf>
    <xf numFmtId="4" fontId="10" fillId="0" borderId="9" xfId="6" applyNumberFormat="1" applyFont="1" applyFill="1" applyBorder="1"/>
    <xf numFmtId="164" fontId="10" fillId="8" borderId="6" xfId="6" applyNumberFormat="1" applyFont="1" applyFill="1" applyBorder="1" applyAlignment="1">
      <alignment vertical="center"/>
    </xf>
    <xf numFmtId="4" fontId="10" fillId="0" borderId="22" xfId="6" applyNumberFormat="1" applyFont="1" applyFill="1" applyBorder="1"/>
    <xf numFmtId="0" fontId="17" fillId="0" borderId="17" xfId="1" applyFont="1" applyBorder="1" applyAlignment="1">
      <alignment horizontal="left"/>
    </xf>
    <xf numFmtId="4" fontId="17" fillId="0" borderId="10" xfId="1" applyNumberFormat="1" applyFont="1" applyBorder="1"/>
    <xf numFmtId="4" fontId="17" fillId="0" borderId="11" xfId="1" applyNumberFormat="1" applyFont="1" applyBorder="1"/>
    <xf numFmtId="0" fontId="17" fillId="0" borderId="18" xfId="1" applyFont="1" applyBorder="1"/>
    <xf numFmtId="4" fontId="17" fillId="0" borderId="9" xfId="1" applyNumberFormat="1" applyFont="1" applyBorder="1"/>
    <xf numFmtId="4" fontId="17" fillId="0" borderId="6" xfId="1" applyNumberFormat="1" applyFont="1" applyBorder="1"/>
    <xf numFmtId="0" fontId="10" fillId="0" borderId="0" xfId="1" applyFont="1" applyFill="1" applyBorder="1" applyAlignment="1">
      <alignment vertical="center" wrapText="1"/>
    </xf>
    <xf numFmtId="0" fontId="10" fillId="8" borderId="30" xfId="6" applyFont="1" applyFill="1" applyBorder="1" applyAlignment="1">
      <alignment horizontal="left" vertical="center" wrapText="1"/>
    </xf>
    <xf numFmtId="0" fontId="10" fillId="0" borderId="30" xfId="6" applyFont="1" applyFill="1" applyBorder="1" applyAlignment="1">
      <alignment vertical="center" wrapText="1"/>
    </xf>
    <xf numFmtId="0" fontId="10" fillId="0" borderId="25" xfId="6" applyFont="1" applyFill="1" applyBorder="1" applyAlignment="1">
      <alignment horizontal="left" vertical="center" wrapText="1"/>
    </xf>
    <xf numFmtId="0" fontId="10" fillId="0" borderId="52" xfId="6" applyFont="1" applyFill="1" applyBorder="1" applyAlignment="1">
      <alignment vertical="center"/>
    </xf>
    <xf numFmtId="0" fontId="10" fillId="0" borderId="30" xfId="6" applyFont="1" applyFill="1" applyBorder="1" applyAlignment="1">
      <alignment horizontal="left" vertical="center" wrapText="1"/>
    </xf>
    <xf numFmtId="0" fontId="10" fillId="0" borderId="25" xfId="1" applyFont="1" applyFill="1" applyBorder="1"/>
    <xf numFmtId="4" fontId="10" fillId="0" borderId="31" xfId="6" applyNumberFormat="1" applyFont="1" applyFill="1" applyBorder="1" applyAlignment="1">
      <alignment horizontal="right" vertical="center"/>
    </xf>
    <xf numFmtId="0" fontId="10" fillId="0" borderId="33" xfId="6" applyFont="1" applyFill="1" applyBorder="1" applyAlignment="1">
      <alignment vertical="center" wrapText="1"/>
    </xf>
    <xf numFmtId="0" fontId="16" fillId="0" borderId="25" xfId="6" applyFont="1" applyFill="1" applyBorder="1" applyAlignment="1">
      <alignment horizontal="left" vertical="center"/>
    </xf>
    <xf numFmtId="0" fontId="10" fillId="0" borderId="30" xfId="6" applyFont="1" applyFill="1" applyBorder="1" applyAlignment="1">
      <alignment horizontal="left" vertical="center" wrapText="1"/>
    </xf>
    <xf numFmtId="0" fontId="2" fillId="0" borderId="30" xfId="6" applyBorder="1" applyAlignment="1">
      <alignment vertical="center" wrapText="1"/>
    </xf>
    <xf numFmtId="0" fontId="2" fillId="0" borderId="30" xfId="6" applyFont="1" applyBorder="1" applyAlignment="1">
      <alignment vertical="center" wrapText="1"/>
    </xf>
    <xf numFmtId="4" fontId="11" fillId="0" borderId="56" xfId="1" applyNumberFormat="1" applyFont="1" applyFill="1" applyBorder="1" applyAlignment="1">
      <alignment horizontal="right" vertical="center"/>
    </xf>
    <xf numFmtId="164" fontId="9" fillId="0" borderId="11" xfId="1" applyNumberFormat="1" applyFont="1" applyFill="1" applyBorder="1"/>
    <xf numFmtId="0" fontId="10" fillId="8" borderId="18" xfId="1" applyFont="1" applyFill="1" applyBorder="1" applyAlignment="1">
      <alignment vertical="center"/>
    </xf>
    <xf numFmtId="4" fontId="10" fillId="0" borderId="37" xfId="1" applyNumberFormat="1" applyFont="1" applyFill="1" applyBorder="1" applyAlignment="1">
      <alignment vertical="center"/>
    </xf>
    <xf numFmtId="4" fontId="10" fillId="0" borderId="51" xfId="1" applyNumberFormat="1" applyFont="1" applyFill="1" applyBorder="1" applyAlignment="1">
      <alignment vertical="center"/>
    </xf>
    <xf numFmtId="4" fontId="54" fillId="0" borderId="0" xfId="6" applyNumberFormat="1" applyFont="1" applyFill="1" applyAlignment="1">
      <alignment vertical="top"/>
    </xf>
    <xf numFmtId="4" fontId="2" fillId="0" borderId="0" xfId="6" applyNumberFormat="1"/>
    <xf numFmtId="164" fontId="9" fillId="0" borderId="11" xfId="6" applyNumberFormat="1" applyFont="1" applyFill="1" applyBorder="1"/>
    <xf numFmtId="4" fontId="11" fillId="0" borderId="34" xfId="6" applyNumberFormat="1" applyFont="1" applyFill="1" applyBorder="1" applyAlignment="1">
      <alignment vertical="center"/>
    </xf>
    <xf numFmtId="4" fontId="10" fillId="0" borderId="34" xfId="6" applyNumberFormat="1" applyFont="1" applyFill="1" applyBorder="1" applyAlignment="1">
      <alignment horizontal="right" vertical="center"/>
    </xf>
    <xf numFmtId="4" fontId="10" fillId="0" borderId="22" xfId="6" applyNumberFormat="1" applyFont="1" applyFill="1" applyBorder="1" applyAlignment="1">
      <alignment horizontal="right" vertical="center"/>
    </xf>
    <xf numFmtId="0" fontId="16" fillId="0" borderId="15" xfId="6" applyFont="1" applyFill="1" applyBorder="1" applyAlignment="1">
      <alignment horizontal="left" vertical="center" wrapText="1"/>
    </xf>
    <xf numFmtId="0" fontId="10" fillId="0" borderId="33" xfId="6" applyFont="1" applyFill="1" applyBorder="1" applyAlignment="1">
      <alignment vertical="center" wrapText="1"/>
    </xf>
    <xf numFmtId="0" fontId="10" fillId="0" borderId="25" xfId="6" applyFont="1" applyFill="1" applyBorder="1" applyAlignment="1">
      <alignment vertical="center" wrapText="1"/>
    </xf>
    <xf numFmtId="4" fontId="2" fillId="8" borderId="0" xfId="6" applyNumberFormat="1" applyFont="1" applyFill="1" applyAlignment="1">
      <alignment vertical="center"/>
    </xf>
    <xf numFmtId="4" fontId="2" fillId="8" borderId="0" xfId="6" applyNumberFormat="1" applyFont="1" applyFill="1"/>
    <xf numFmtId="0" fontId="5" fillId="0" borderId="14" xfId="6" applyFont="1" applyFill="1" applyBorder="1" applyAlignment="1">
      <alignment horizontal="left"/>
    </xf>
    <xf numFmtId="0" fontId="22" fillId="0" borderId="14" xfId="6" applyFont="1" applyBorder="1"/>
    <xf numFmtId="4" fontId="12" fillId="0" borderId="14" xfId="6" applyNumberFormat="1" applyFont="1" applyBorder="1" applyAlignment="1">
      <alignment vertical="center"/>
    </xf>
    <xf numFmtId="0" fontId="9" fillId="0" borderId="57" xfId="6" applyFont="1" applyFill="1" applyBorder="1" applyAlignment="1">
      <alignment horizontal="left" vertical="center"/>
    </xf>
    <xf numFmtId="4" fontId="9" fillId="0" borderId="58" xfId="6" applyNumberFormat="1" applyFont="1" applyFill="1" applyBorder="1" applyAlignment="1">
      <alignment horizontal="right" vertical="center"/>
    </xf>
    <xf numFmtId="164" fontId="9" fillId="0" borderId="59" xfId="6" applyNumberFormat="1" applyFont="1" applyFill="1" applyBorder="1" applyAlignment="1">
      <alignment vertical="center"/>
    </xf>
    <xf numFmtId="0" fontId="16" fillId="0" borderId="21" xfId="6" applyFont="1" applyFill="1" applyBorder="1" applyAlignment="1">
      <alignment horizontal="left" vertical="center" wrapText="1"/>
    </xf>
    <xf numFmtId="0" fontId="10" fillId="0" borderId="21" xfId="1" applyFont="1" applyFill="1" applyBorder="1" applyAlignment="1">
      <alignment vertical="center"/>
    </xf>
    <xf numFmtId="4" fontId="4" fillId="4" borderId="0" xfId="1" applyNumberFormat="1" applyFont="1" applyFill="1" applyAlignment="1">
      <alignment horizontal="left"/>
    </xf>
    <xf numFmtId="4" fontId="2" fillId="0" borderId="0" xfId="6" applyNumberFormat="1" applyFont="1"/>
    <xf numFmtId="0" fontId="51" fillId="0" borderId="0" xfId="1" applyFont="1" applyBorder="1" applyAlignment="1">
      <alignment horizontal="left" wrapText="1"/>
    </xf>
    <xf numFmtId="0" fontId="17" fillId="0" borderId="44" xfId="1" applyFont="1" applyBorder="1" applyAlignment="1">
      <alignment horizontal="center"/>
    </xf>
    <xf numFmtId="0" fontId="17" fillId="0" borderId="45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10" fillId="0" borderId="30" xfId="6" applyFont="1" applyFill="1" applyBorder="1" applyAlignment="1">
      <alignment vertical="center" wrapText="1"/>
    </xf>
    <xf numFmtId="0" fontId="10" fillId="0" borderId="33" xfId="6" applyFont="1" applyFill="1" applyBorder="1" applyAlignment="1">
      <alignment vertical="center" wrapText="1"/>
    </xf>
    <xf numFmtId="0" fontId="10" fillId="0" borderId="18" xfId="6" applyFont="1" applyFill="1" applyBorder="1" applyAlignment="1">
      <alignment vertical="center" wrapText="1"/>
    </xf>
    <xf numFmtId="0" fontId="2" fillId="0" borderId="30" xfId="6" applyFont="1" applyBorder="1" applyAlignment="1">
      <alignment vertical="center" wrapText="1"/>
    </xf>
    <xf numFmtId="0" fontId="2" fillId="0" borderId="33" xfId="6" applyFont="1" applyBorder="1" applyAlignment="1">
      <alignment vertical="center" wrapText="1"/>
    </xf>
    <xf numFmtId="0" fontId="2" fillId="0" borderId="30" xfId="6" applyBorder="1" applyAlignment="1">
      <alignment vertical="center" wrapText="1"/>
    </xf>
    <xf numFmtId="0" fontId="2" fillId="0" borderId="33" xfId="6" applyBorder="1" applyAlignment="1">
      <alignment vertical="center" wrapText="1"/>
    </xf>
    <xf numFmtId="0" fontId="10" fillId="0" borderId="15" xfId="6" applyFont="1" applyFill="1" applyBorder="1" applyAlignment="1">
      <alignment vertical="center" wrapText="1"/>
    </xf>
    <xf numFmtId="0" fontId="10" fillId="0" borderId="21" xfId="6" applyFont="1" applyFill="1" applyBorder="1" applyAlignment="1">
      <alignment vertical="center" wrapText="1"/>
    </xf>
    <xf numFmtId="0" fontId="10" fillId="0" borderId="25" xfId="6" applyFont="1" applyFill="1" applyBorder="1" applyAlignment="1">
      <alignment vertical="center" wrapText="1"/>
    </xf>
    <xf numFmtId="0" fontId="16" fillId="0" borderId="33" xfId="6" applyFont="1" applyFill="1" applyBorder="1" applyAlignment="1">
      <alignment vertical="center"/>
    </xf>
    <xf numFmtId="0" fontId="16" fillId="0" borderId="25" xfId="6" applyFont="1" applyFill="1" applyBorder="1" applyAlignment="1">
      <alignment vertical="center"/>
    </xf>
    <xf numFmtId="0" fontId="16" fillId="0" borderId="15" xfId="6" applyFont="1" applyFill="1" applyBorder="1" applyAlignment="1">
      <alignment vertical="center"/>
    </xf>
    <xf numFmtId="0" fontId="10" fillId="0" borderId="33" xfId="6" applyFont="1" applyFill="1" applyBorder="1" applyAlignment="1">
      <alignment horizontal="left" vertical="center" wrapText="1"/>
    </xf>
    <xf numFmtId="0" fontId="10" fillId="0" borderId="18" xfId="6" applyFont="1" applyFill="1" applyBorder="1" applyAlignment="1">
      <alignment horizontal="left" vertical="center" wrapText="1"/>
    </xf>
    <xf numFmtId="0" fontId="10" fillId="8" borderId="21" xfId="6" applyFont="1" applyFill="1" applyBorder="1" applyAlignment="1">
      <alignment horizontal="left" vertical="center" wrapText="1"/>
    </xf>
    <xf numFmtId="0" fontId="10" fillId="8" borderId="15" xfId="6" applyFont="1" applyFill="1" applyBorder="1" applyAlignment="1">
      <alignment horizontal="left" vertical="center"/>
    </xf>
    <xf numFmtId="0" fontId="10" fillId="8" borderId="18" xfId="6" applyFont="1" applyFill="1" applyBorder="1" applyAlignment="1">
      <alignment horizontal="left" vertical="center"/>
    </xf>
    <xf numFmtId="0" fontId="10" fillId="8" borderId="30" xfId="6" applyFont="1" applyFill="1" applyBorder="1" applyAlignment="1">
      <alignment vertical="center" wrapText="1"/>
    </xf>
    <xf numFmtId="0" fontId="10" fillId="8" borderId="15" xfId="6" applyFont="1" applyFill="1" applyBorder="1" applyAlignment="1">
      <alignment vertical="center" wrapText="1"/>
    </xf>
    <xf numFmtId="0" fontId="10" fillId="8" borderId="21" xfId="6" applyFont="1" applyFill="1" applyBorder="1" applyAlignment="1">
      <alignment vertical="center" wrapText="1"/>
    </xf>
    <xf numFmtId="0" fontId="10" fillId="8" borderId="33" xfId="6" applyFont="1" applyFill="1" applyBorder="1" applyAlignment="1">
      <alignment vertical="center" wrapText="1"/>
    </xf>
    <xf numFmtId="0" fontId="10" fillId="0" borderId="30" xfId="1" applyFont="1" applyFill="1" applyBorder="1" applyAlignment="1">
      <alignment vertical="center"/>
    </xf>
    <xf numFmtId="0" fontId="10" fillId="0" borderId="33" xfId="1" applyFont="1" applyFill="1" applyBorder="1" applyAlignment="1">
      <alignment vertical="center"/>
    </xf>
  </cellXfs>
  <cellStyles count="9">
    <cellStyle name="Normální" xfId="0" builtinId="0"/>
    <cellStyle name="Normální 2" xfId="1"/>
    <cellStyle name="normální 2 2" xfId="4"/>
    <cellStyle name="Normální 2 3" xfId="6"/>
    <cellStyle name="Normální 6" xfId="5"/>
    <cellStyle name="normální_Investice 2005-sociální, zdravotní, kutura 2" xfId="2"/>
    <cellStyle name="normální_Investice 2005-sociální, zdravotní, kutura 2 2" xfId="8"/>
    <cellStyle name="normální_Sociální - investice a opravy 2009 - sumarizace vč. prior - 10-12-2008" xfId="3"/>
    <cellStyle name="normální_Sociální - investice a opravy 2009 - sumarizace vč. prior - 10-12-2008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P71"/>
  <sheetViews>
    <sheetView showGridLines="0" tabSelected="1" view="pageBreakPreview" zoomScaleNormal="100" zoomScaleSheetLayoutView="100" workbookViewId="0">
      <selection activeCell="N46" sqref="N46"/>
    </sheetView>
  </sheetViews>
  <sheetFormatPr defaultColWidth="9.140625" defaultRowHeight="12.75" x14ac:dyDescent="0.2"/>
  <cols>
    <col min="1" max="1" width="36.140625" style="5" customWidth="1"/>
    <col min="2" max="2" width="19" style="5" customWidth="1"/>
    <col min="3" max="3" width="20.140625" style="5" customWidth="1"/>
    <col min="4" max="4" width="19.42578125" style="5" customWidth="1"/>
    <col min="5" max="5" width="3.28515625" style="5" customWidth="1"/>
    <col min="6" max="6" width="22.5703125" style="5" hidden="1" customWidth="1"/>
    <col min="7" max="7" width="13.5703125" style="5" hidden="1" customWidth="1"/>
    <col min="8" max="8" width="16.28515625" style="5" hidden="1" customWidth="1"/>
    <col min="9" max="9" width="18.85546875" style="5" hidden="1" customWidth="1"/>
    <col min="10" max="10" width="17.85546875" style="5" hidden="1" customWidth="1"/>
    <col min="11" max="11" width="19.42578125" style="5" hidden="1" customWidth="1"/>
    <col min="12" max="12" width="5" style="5" customWidth="1"/>
    <col min="13" max="13" width="3.85546875" style="5" customWidth="1"/>
    <col min="14" max="14" width="17.28515625" style="5" bestFit="1" customWidth="1"/>
    <col min="15" max="15" width="17.42578125" style="5" customWidth="1"/>
    <col min="16" max="16" width="18.140625" style="5" customWidth="1"/>
    <col min="17" max="16384" width="9.140625" style="5"/>
  </cols>
  <sheetData>
    <row r="1" spans="1:9" ht="18" x14ac:dyDescent="0.25">
      <c r="A1" s="6" t="s">
        <v>280</v>
      </c>
      <c r="B1" s="7"/>
      <c r="C1" s="7"/>
      <c r="D1" s="7"/>
    </row>
    <row r="2" spans="1:9" ht="18.75" thickBot="1" x14ac:dyDescent="0.3">
      <c r="A2" s="8"/>
      <c r="B2" s="9"/>
      <c r="C2" s="9"/>
      <c r="D2" s="10" t="s">
        <v>18</v>
      </c>
    </row>
    <row r="3" spans="1:9" ht="14.25" thickTop="1" thickBot="1" x14ac:dyDescent="0.25">
      <c r="A3" s="11"/>
      <c r="B3" s="12" t="s">
        <v>0</v>
      </c>
      <c r="C3" s="13" t="s">
        <v>1</v>
      </c>
      <c r="D3" s="14" t="s">
        <v>4</v>
      </c>
    </row>
    <row r="4" spans="1:9" ht="16.5" thickTop="1" x14ac:dyDescent="0.25">
      <c r="A4" s="15" t="s">
        <v>7</v>
      </c>
      <c r="B4" s="154">
        <f>SUM(B5:B6)</f>
        <v>114050000</v>
      </c>
      <c r="C4" s="154">
        <f>SUM(C5:C6)</f>
        <v>144913295.24000001</v>
      </c>
      <c r="D4" s="155">
        <f>SUM(D5:D6)</f>
        <v>136245744.94</v>
      </c>
    </row>
    <row r="5" spans="1:9" x14ac:dyDescent="0.2">
      <c r="A5" s="151" t="s">
        <v>25</v>
      </c>
      <c r="B5" s="133">
        <f>'8a) OK 2021'!B248</f>
        <v>84810000</v>
      </c>
      <c r="C5" s="133">
        <f>'8a) OK 2021'!C248</f>
        <v>111920899.54000001</v>
      </c>
      <c r="D5" s="152">
        <f>'8a) OK 2021'!D248</f>
        <v>109394597.5</v>
      </c>
    </row>
    <row r="6" spans="1:9" x14ac:dyDescent="0.2">
      <c r="A6" s="151" t="s">
        <v>118</v>
      </c>
      <c r="B6" s="133">
        <f>'8b) Projekty spolufinancované'!B168</f>
        <v>29240000</v>
      </c>
      <c r="C6" s="133">
        <f>'8b) Projekty spolufinancované'!C168</f>
        <v>32992395.699999999</v>
      </c>
      <c r="D6" s="152">
        <f>'8b) Projekty spolufinancované'!D168</f>
        <v>26851147.439999998</v>
      </c>
    </row>
    <row r="7" spans="1:9" ht="15.75" x14ac:dyDescent="0.25">
      <c r="A7" s="153" t="s">
        <v>9</v>
      </c>
      <c r="B7" s="154">
        <f>SUM(B8:B9)</f>
        <v>134350000</v>
      </c>
      <c r="C7" s="154">
        <f>SUM(C8:C9)</f>
        <v>154057578.56</v>
      </c>
      <c r="D7" s="155">
        <f>SUM(D8:D9)</f>
        <v>128885562.34999996</v>
      </c>
    </row>
    <row r="8" spans="1:9" x14ac:dyDescent="0.2">
      <c r="A8" s="151" t="s">
        <v>25</v>
      </c>
      <c r="B8" s="133">
        <f>'8a) OK 2021'!B249</f>
        <v>74390000</v>
      </c>
      <c r="C8" s="133">
        <f>'8a) OK 2021'!C249</f>
        <v>96602990.669999987</v>
      </c>
      <c r="D8" s="152">
        <f>'8a) OK 2021'!D249</f>
        <v>85853703.169999972</v>
      </c>
      <c r="G8" s="16"/>
      <c r="H8" s="17"/>
      <c r="I8" s="18"/>
    </row>
    <row r="9" spans="1:9" x14ac:dyDescent="0.2">
      <c r="A9" s="151" t="s">
        <v>118</v>
      </c>
      <c r="B9" s="133">
        <f>'8b) Projekty spolufinancované'!B169</f>
        <v>59960000</v>
      </c>
      <c r="C9" s="133">
        <f>'8b) Projekty spolufinancované'!C169</f>
        <v>57454587.890000001</v>
      </c>
      <c r="D9" s="152">
        <f>'8b) Projekty spolufinancované'!D169</f>
        <v>43031859.18</v>
      </c>
      <c r="G9" s="16"/>
      <c r="H9" s="17"/>
      <c r="I9" s="18"/>
    </row>
    <row r="10" spans="1:9" ht="15.75" x14ac:dyDescent="0.25">
      <c r="A10" s="153" t="s">
        <v>8</v>
      </c>
      <c r="B10" s="154">
        <f>SUM(B11:B12)</f>
        <v>107333000</v>
      </c>
      <c r="C10" s="154">
        <f>SUM(C11:C12)</f>
        <v>92594037.560000002</v>
      </c>
      <c r="D10" s="155">
        <f>SUM(D11:D12)</f>
        <v>76062437.730000019</v>
      </c>
    </row>
    <row r="11" spans="1:9" x14ac:dyDescent="0.2">
      <c r="A11" s="151" t="s">
        <v>25</v>
      </c>
      <c r="B11" s="133">
        <f>'8a) OK 2021'!B250</f>
        <v>76010000</v>
      </c>
      <c r="C11" s="133">
        <f>'8a) OK 2021'!C250</f>
        <v>65804456.150000006</v>
      </c>
      <c r="D11" s="152">
        <f>'8a) OK 2021'!D250</f>
        <v>50170619.38000001</v>
      </c>
    </row>
    <row r="12" spans="1:9" x14ac:dyDescent="0.2">
      <c r="A12" s="151" t="s">
        <v>118</v>
      </c>
      <c r="B12" s="133">
        <f>'8b) Projekty spolufinancované'!B170</f>
        <v>31323000</v>
      </c>
      <c r="C12" s="133">
        <f>'8b) Projekty spolufinancované'!C170</f>
        <v>26789581.409999996</v>
      </c>
      <c r="D12" s="152">
        <f>'8b) Projekty spolufinancované'!D170</f>
        <v>25891818.350000001</v>
      </c>
    </row>
    <row r="13" spans="1:9" ht="15.75" x14ac:dyDescent="0.25">
      <c r="A13" s="153" t="s">
        <v>11</v>
      </c>
      <c r="B13" s="154">
        <f>SUM(B14:B15)</f>
        <v>447839000</v>
      </c>
      <c r="C13" s="154">
        <f>SUM(C14:C15)</f>
        <v>1017329042.52</v>
      </c>
      <c r="D13" s="155">
        <f>SUM(D14:D15)</f>
        <v>980258184.25</v>
      </c>
    </row>
    <row r="14" spans="1:9" x14ac:dyDescent="0.2">
      <c r="A14" s="151" t="s">
        <v>25</v>
      </c>
      <c r="B14" s="133">
        <f>'8a) OK 2021'!B251</f>
        <v>49416000</v>
      </c>
      <c r="C14" s="133">
        <f>'8a) OK 2021'!C251</f>
        <v>83659479.390000001</v>
      </c>
      <c r="D14" s="152">
        <f>'8a) OK 2021'!D251</f>
        <v>73381582.439999998</v>
      </c>
    </row>
    <row r="15" spans="1:9" x14ac:dyDescent="0.2">
      <c r="A15" s="151" t="s">
        <v>118</v>
      </c>
      <c r="B15" s="133">
        <f>'8b) Projekty spolufinancované'!B171</f>
        <v>398423000</v>
      </c>
      <c r="C15" s="133">
        <f>'8b) Projekty spolufinancované'!C171</f>
        <v>933669563.13</v>
      </c>
      <c r="D15" s="152">
        <f>'8b) Projekty spolufinancované'!D171</f>
        <v>906876601.81000006</v>
      </c>
    </row>
    <row r="16" spans="1:9" ht="15.75" x14ac:dyDescent="0.25">
      <c r="A16" s="153" t="s">
        <v>10</v>
      </c>
      <c r="B16" s="154">
        <f>SUM(B17:B19)</f>
        <v>220083000</v>
      </c>
      <c r="C16" s="154">
        <f>SUM(C17:C19)</f>
        <v>213560121.94999999</v>
      </c>
      <c r="D16" s="155">
        <f>SUM(D17:D19)</f>
        <v>199429741.06</v>
      </c>
    </row>
    <row r="17" spans="1:4" x14ac:dyDescent="0.2">
      <c r="A17" s="151" t="s">
        <v>25</v>
      </c>
      <c r="B17" s="133">
        <f>'8a) OK 2021'!B252</f>
        <v>82833000</v>
      </c>
      <c r="C17" s="133">
        <f>'8a) OK 2021'!C252</f>
        <v>67352228.300000012</v>
      </c>
      <c r="D17" s="152">
        <f>'8a) OK 2021'!D252</f>
        <v>56947693.350000009</v>
      </c>
    </row>
    <row r="18" spans="1:4" x14ac:dyDescent="0.2">
      <c r="A18" s="151" t="s">
        <v>118</v>
      </c>
      <c r="B18" s="133">
        <f>'8b) Projekty spolufinancované'!B172</f>
        <v>109714000</v>
      </c>
      <c r="C18" s="133">
        <f>'8b) Projekty spolufinancované'!C172</f>
        <v>115032939.95999999</v>
      </c>
      <c r="D18" s="152">
        <f>'8b) Projekty spolufinancované'!D172</f>
        <v>112976624.61</v>
      </c>
    </row>
    <row r="19" spans="1:4" x14ac:dyDescent="0.2">
      <c r="A19" s="151" t="s">
        <v>100</v>
      </c>
      <c r="B19" s="133">
        <f>'8c) SMN'!B20</f>
        <v>27536000</v>
      </c>
      <c r="C19" s="133">
        <f>'8c) SMN'!C20</f>
        <v>31174953.690000001</v>
      </c>
      <c r="D19" s="152">
        <f>'8c) SMN'!D20</f>
        <v>29505423.100000001</v>
      </c>
    </row>
    <row r="20" spans="1:4" ht="15.75" x14ac:dyDescent="0.25">
      <c r="A20" s="153" t="s">
        <v>55</v>
      </c>
      <c r="B20" s="154">
        <f>SUM(B21)</f>
        <v>4457000</v>
      </c>
      <c r="C20" s="154">
        <f t="shared" ref="C20:D20" si="0">SUM(C21)</f>
        <v>2816220</v>
      </c>
      <c r="D20" s="155">
        <f t="shared" si="0"/>
        <v>2718440</v>
      </c>
    </row>
    <row r="21" spans="1:4" x14ac:dyDescent="0.2">
      <c r="A21" s="151" t="s">
        <v>118</v>
      </c>
      <c r="B21" s="133">
        <f>'8b) Projekty spolufinancované'!B173</f>
        <v>4457000</v>
      </c>
      <c r="C21" s="133">
        <f>'8b) Projekty spolufinancované'!C173</f>
        <v>2816220</v>
      </c>
      <c r="D21" s="152">
        <f>'8b) Projekty spolufinancované'!D173</f>
        <v>2718440</v>
      </c>
    </row>
    <row r="22" spans="1:4" ht="18" customHeight="1" x14ac:dyDescent="0.25">
      <c r="A22" s="156" t="s">
        <v>192</v>
      </c>
      <c r="B22" s="157">
        <f>SUM(B23:B23)</f>
        <v>8096000</v>
      </c>
      <c r="C22" s="157">
        <f>SUM(C23:C23)</f>
        <v>5517526.4800000004</v>
      </c>
      <c r="D22" s="176">
        <f>SUM(D23:D23)</f>
        <v>5074587.46</v>
      </c>
    </row>
    <row r="23" spans="1:4" x14ac:dyDescent="0.2">
      <c r="A23" s="151" t="s">
        <v>118</v>
      </c>
      <c r="B23" s="133">
        <f>'8b) Projekty spolufinancované'!B153</f>
        <v>8096000</v>
      </c>
      <c r="C23" s="133">
        <f>'8b) Projekty spolufinancované'!C153</f>
        <v>5517526.4800000004</v>
      </c>
      <c r="D23" s="152">
        <f>'8b) Projekty spolufinancované'!D153</f>
        <v>5074587.46</v>
      </c>
    </row>
    <row r="24" spans="1:4" ht="15.75" x14ac:dyDescent="0.25">
      <c r="A24" s="156" t="s">
        <v>272</v>
      </c>
      <c r="B24" s="157">
        <f>SUM(B25:B25)</f>
        <v>40000000</v>
      </c>
      <c r="C24" s="157">
        <f>SUM(C25:C25)</f>
        <v>1552540</v>
      </c>
      <c r="D24" s="176">
        <f>SUM(D25:D25)</f>
        <v>659365</v>
      </c>
    </row>
    <row r="25" spans="1:4" x14ac:dyDescent="0.2">
      <c r="A25" s="151" t="s">
        <v>118</v>
      </c>
      <c r="B25" s="133">
        <f>'8b) Projekty spolufinancované'!B164</f>
        <v>40000000</v>
      </c>
      <c r="C25" s="133">
        <f>'8b) Projekty spolufinancované'!C164</f>
        <v>1552540</v>
      </c>
      <c r="D25" s="152">
        <f>'8b) Projekty spolufinancované'!D164</f>
        <v>659365</v>
      </c>
    </row>
    <row r="26" spans="1:4" ht="15.75" x14ac:dyDescent="0.25">
      <c r="A26" s="153" t="s">
        <v>26</v>
      </c>
      <c r="B26" s="154">
        <f>SUM(B27:B27)</f>
        <v>2650000</v>
      </c>
      <c r="C26" s="154">
        <f>SUM(C27:C27)</f>
        <v>8421257.870000001</v>
      </c>
      <c r="D26" s="155">
        <f>SUM(D27:D27)</f>
        <v>7542553.21</v>
      </c>
    </row>
    <row r="27" spans="1:4" ht="13.5" thickBot="1" x14ac:dyDescent="0.25">
      <c r="A27" s="151" t="s">
        <v>25</v>
      </c>
      <c r="B27" s="133">
        <f>'8a) OK 2021'!B244</f>
        <v>2650000</v>
      </c>
      <c r="C27" s="133">
        <f>'8a) OK 2021'!C244</f>
        <v>8421257.870000001</v>
      </c>
      <c r="D27" s="152">
        <f>'8a) OK 2021'!D244</f>
        <v>7542553.21</v>
      </c>
    </row>
    <row r="28" spans="1:4" ht="17.25" thickTop="1" thickBot="1" x14ac:dyDescent="0.3">
      <c r="A28" s="19" t="s">
        <v>27</v>
      </c>
      <c r="B28" s="20">
        <f>SUM(B4,B7,B13,B10,B16,,B26,B20,B22,B24)</f>
        <v>1078858000</v>
      </c>
      <c r="C28" s="20">
        <f t="shared" ref="C28:D28" si="1">SUM(C4,C7,C13,C10,C16,,C26,C20,C22,C24)</f>
        <v>1640761620.1799998</v>
      </c>
      <c r="D28" s="20">
        <f t="shared" si="1"/>
        <v>1536876616</v>
      </c>
    </row>
    <row r="29" spans="1:4" ht="16.5" thickTop="1" x14ac:dyDescent="0.25">
      <c r="A29" s="484"/>
      <c r="B29" s="21"/>
      <c r="C29" s="21"/>
      <c r="D29" s="21"/>
    </row>
    <row r="30" spans="1:4" ht="15.75" x14ac:dyDescent="0.25">
      <c r="A30" s="484"/>
      <c r="B30" s="21"/>
      <c r="C30" s="21"/>
      <c r="D30" s="21"/>
    </row>
    <row r="31" spans="1:4" ht="15.75" x14ac:dyDescent="0.25">
      <c r="A31" s="23" t="s">
        <v>120</v>
      </c>
      <c r="B31" s="21"/>
      <c r="C31" s="21"/>
      <c r="D31" s="21"/>
    </row>
    <row r="32" spans="1:4" ht="16.5" thickBot="1" x14ac:dyDescent="0.3">
      <c r="A32" s="23"/>
      <c r="B32" s="21"/>
      <c r="C32" s="21"/>
      <c r="D32" s="10" t="s">
        <v>18</v>
      </c>
    </row>
    <row r="33" spans="1:16" ht="15.75" thickTop="1" thickBot="1" x14ac:dyDescent="0.25">
      <c r="A33" s="11"/>
      <c r="B33" s="12" t="s">
        <v>0</v>
      </c>
      <c r="C33" s="13" t="s">
        <v>1</v>
      </c>
      <c r="D33" s="14" t="s">
        <v>4</v>
      </c>
      <c r="F33" s="599" t="s">
        <v>182</v>
      </c>
      <c r="G33" s="600"/>
    </row>
    <row r="34" spans="1:16" ht="15.75" thickTop="1" thickBot="1" x14ac:dyDescent="0.25">
      <c r="A34" s="24" t="s">
        <v>121</v>
      </c>
      <c r="B34" s="25">
        <f>B27+B17+B14+B11+B8+B5</f>
        <v>370109000</v>
      </c>
      <c r="C34" s="25">
        <f>C27+C17+C14+C11+C8+C5</f>
        <v>433761311.92000002</v>
      </c>
      <c r="D34" s="25">
        <f>D27+D17+D14+D11+D8+D5</f>
        <v>383290749.04999995</v>
      </c>
      <c r="F34" s="509"/>
      <c r="G34" s="510"/>
    </row>
    <row r="35" spans="1:16" ht="15" thickTop="1" x14ac:dyDescent="0.2">
      <c r="A35" s="158" t="s">
        <v>122</v>
      </c>
      <c r="B35" s="159">
        <f>B23+B21+B18+B15+B12+B9+B6+B25</f>
        <v>681213000</v>
      </c>
      <c r="C35" s="159">
        <f t="shared" ref="C35:D35" si="2">C23+C21+C18+C15+C12+C9+C6+C25</f>
        <v>1175825354.5700002</v>
      </c>
      <c r="D35" s="159">
        <f t="shared" si="2"/>
        <v>1124080443.8500001</v>
      </c>
      <c r="F35" s="436" t="s">
        <v>112</v>
      </c>
      <c r="G35" s="439" t="e">
        <f>#REF!-#REF!</f>
        <v>#REF!</v>
      </c>
    </row>
    <row r="36" spans="1:16" s="22" customFormat="1" ht="15" thickBot="1" x14ac:dyDescent="0.25">
      <c r="A36" s="158" t="s">
        <v>123</v>
      </c>
      <c r="B36" s="159">
        <f>B19</f>
        <v>27536000</v>
      </c>
      <c r="C36" s="159">
        <f>C19</f>
        <v>31174953.690000001</v>
      </c>
      <c r="D36" s="443">
        <f>D19</f>
        <v>29505423.100000001</v>
      </c>
      <c r="F36" s="435" t="s">
        <v>111</v>
      </c>
      <c r="G36" s="440">
        <v>-9117005.9499999993</v>
      </c>
    </row>
    <row r="37" spans="1:16" s="22" customFormat="1" ht="17.25" thickTop="1" thickBot="1" x14ac:dyDescent="0.3">
      <c r="A37" s="19" t="s">
        <v>27</v>
      </c>
      <c r="B37" s="20">
        <f>SUM(B34:B36)</f>
        <v>1078858000</v>
      </c>
      <c r="C37" s="20">
        <f t="shared" ref="C37:D37" si="3">SUM(C34:C36)</f>
        <v>1640761620.1800003</v>
      </c>
      <c r="D37" s="444">
        <f t="shared" si="3"/>
        <v>1536876616</v>
      </c>
      <c r="F37" s="437"/>
      <c r="G37" s="438" t="e">
        <f>SUM(G34:G36)</f>
        <v>#REF!</v>
      </c>
    </row>
    <row r="38" spans="1:16" s="22" customFormat="1" ht="17.25" thickTop="1" thickBot="1" x14ac:dyDescent="0.3">
      <c r="A38" s="484"/>
      <c r="B38" s="21"/>
      <c r="C38" s="21"/>
      <c r="D38" s="21"/>
    </row>
    <row r="39" spans="1:16" s="22" customFormat="1" ht="16.5" thickBot="1" x14ac:dyDescent="0.3">
      <c r="A39" s="484"/>
      <c r="B39" s="21"/>
      <c r="C39" s="21"/>
      <c r="D39" s="21"/>
      <c r="F39" s="599" t="s">
        <v>180</v>
      </c>
      <c r="G39" s="600"/>
    </row>
    <row r="40" spans="1:16" s="22" customFormat="1" ht="17.25" thickTop="1" thickBot="1" x14ac:dyDescent="0.3">
      <c r="A40" s="23" t="s">
        <v>124</v>
      </c>
      <c r="B40" s="21"/>
      <c r="C40" s="21"/>
      <c r="D40" s="21"/>
      <c r="F40" s="509"/>
      <c r="G40" s="510"/>
    </row>
    <row r="41" spans="1:16" s="22" customFormat="1" ht="17.25" thickTop="1" thickBot="1" x14ac:dyDescent="0.3">
      <c r="A41" s="23"/>
      <c r="B41" s="21"/>
      <c r="C41" s="21"/>
      <c r="D41" s="10" t="s">
        <v>18</v>
      </c>
      <c r="F41" s="436" t="s">
        <v>112</v>
      </c>
      <c r="G41" s="439" t="e">
        <f>#REF!-#REF!</f>
        <v>#REF!</v>
      </c>
    </row>
    <row r="42" spans="1:16" s="22" customFormat="1" ht="14.25" thickTop="1" thickBot="1" x14ac:dyDescent="0.25">
      <c r="A42" s="11"/>
      <c r="B42" s="12" t="s">
        <v>0</v>
      </c>
      <c r="C42" s="13" t="s">
        <v>1</v>
      </c>
      <c r="D42" s="14" t="s">
        <v>4</v>
      </c>
      <c r="F42" s="435" t="s">
        <v>181</v>
      </c>
      <c r="G42" s="440">
        <v>0</v>
      </c>
    </row>
    <row r="43" spans="1:16" s="26" customFormat="1" ht="15.75" thickTop="1" thickBot="1" x14ac:dyDescent="0.25">
      <c r="A43" s="24" t="s">
        <v>125</v>
      </c>
      <c r="B43" s="25">
        <f>'8a) OK 2021'!J263+'8b) Projekty spolufinancované'!J180+'8c) SMN'!I18+'8c) SMN'!I19</f>
        <v>678858000</v>
      </c>
      <c r="C43" s="25">
        <f>'8a) OK 2021'!K263+'8b) Projekty spolufinancované'!K180+'8c) SMN'!J18+'8c) SMN'!J19</f>
        <v>745700228.20000005</v>
      </c>
      <c r="D43" s="524">
        <f>'8a) OK 2021'!L263+'8b) Projekty spolufinancované'!L180+'8c) SMN'!K18+'8c) SMN'!K19</f>
        <v>656455348.13</v>
      </c>
      <c r="F43" s="437"/>
      <c r="G43" s="438" t="e">
        <f>SUM(G40:G42)</f>
        <v>#REF!</v>
      </c>
      <c r="N43" s="487"/>
      <c r="O43" s="487"/>
      <c r="P43" s="487"/>
    </row>
    <row r="44" spans="1:16" s="26" customFormat="1" ht="14.25" x14ac:dyDescent="0.2">
      <c r="A44" s="158" t="s">
        <v>126</v>
      </c>
      <c r="B44" s="159">
        <f>'8b) Projekty spolufinancované'!J181-B45</f>
        <v>0</v>
      </c>
      <c r="C44" s="159">
        <f>'8b) Projekty spolufinancované'!K181-C45</f>
        <v>268065463.58999991</v>
      </c>
      <c r="D44" s="443">
        <f>'8b) Projekty spolufinancované'!L181-D45</f>
        <v>268065463.56999993</v>
      </c>
      <c r="N44" s="487"/>
      <c r="O44" s="487"/>
      <c r="P44" s="487"/>
    </row>
    <row r="45" spans="1:16" s="26" customFormat="1" ht="14.25" x14ac:dyDescent="0.2">
      <c r="A45" s="158" t="s">
        <v>278</v>
      </c>
      <c r="B45" s="159">
        <f>'8b) Projekty spolufinancované'!B107</f>
        <v>0</v>
      </c>
      <c r="C45" s="159">
        <f>'8b) Projekty spolufinancované'!C107</f>
        <v>359778090.88999999</v>
      </c>
      <c r="D45" s="443">
        <f>'8b) Projekty spolufinancované'!D107</f>
        <v>359778090.88999999</v>
      </c>
      <c r="N45" s="487"/>
      <c r="O45" s="487"/>
      <c r="P45" s="487"/>
    </row>
    <row r="46" spans="1:16" s="26" customFormat="1" ht="15" thickBot="1" x14ac:dyDescent="0.25">
      <c r="A46" s="158" t="s">
        <v>375</v>
      </c>
      <c r="B46" s="159">
        <f>'8b) Projekty spolufinancované'!J179</f>
        <v>400000000</v>
      </c>
      <c r="C46" s="159">
        <f>'8b) Projekty spolufinancované'!K179</f>
        <v>267217837.5</v>
      </c>
      <c r="D46" s="159">
        <f>'8b) Projekty spolufinancované'!L179</f>
        <v>252577713.40999997</v>
      </c>
      <c r="F46" s="509"/>
      <c r="G46" s="510"/>
      <c r="H46" s="428" t="s">
        <v>110</v>
      </c>
      <c r="I46" s="166" t="e">
        <f>'8a) OK 2021'!#REF!</f>
        <v>#REF!</v>
      </c>
      <c r="J46" s="166" t="e">
        <f>'8a) OK 2021'!#REF!</f>
        <v>#REF!</v>
      </c>
      <c r="K46" s="166" t="e">
        <f>'8a) OK 2021'!#REF!</f>
        <v>#REF!</v>
      </c>
      <c r="N46" s="487"/>
      <c r="O46" s="487"/>
      <c r="P46" s="487"/>
    </row>
    <row r="47" spans="1:16" s="27" customFormat="1" ht="17.25" thickTop="1" thickBot="1" x14ac:dyDescent="0.3">
      <c r="A47" s="19" t="s">
        <v>27</v>
      </c>
      <c r="B47" s="20">
        <f>SUM(B43:B46)</f>
        <v>1078858000</v>
      </c>
      <c r="C47" s="20">
        <f>SUM(C43:C46)</f>
        <v>1640761620.1799998</v>
      </c>
      <c r="D47" s="444">
        <f>SUM(D43:D46)</f>
        <v>1536876616</v>
      </c>
      <c r="F47" s="435" t="s">
        <v>111</v>
      </c>
      <c r="G47" s="440">
        <v>-0.19</v>
      </c>
      <c r="H47" s="428" t="s">
        <v>136</v>
      </c>
      <c r="I47" s="166">
        <f>'8a) OK 2021'!J262</f>
        <v>2000000</v>
      </c>
      <c r="J47" s="166">
        <f>'8a) OK 2021'!K262</f>
        <v>5419832.8700000001</v>
      </c>
      <c r="K47" s="166">
        <f>'8a) OK 2021'!L262</f>
        <v>5419832</v>
      </c>
      <c r="N47" s="487"/>
      <c r="O47" s="487"/>
      <c r="P47" s="487"/>
    </row>
    <row r="48" spans="1:16" s="27" customFormat="1" ht="17.25" customHeight="1" thickTop="1" thickBot="1" x14ac:dyDescent="0.25">
      <c r="B48" s="481"/>
      <c r="D48" s="481"/>
      <c r="F48" s="511"/>
      <c r="G48" s="512">
        <f>SUM(G46:G47)</f>
        <v>-0.19</v>
      </c>
      <c r="H48" s="428" t="s">
        <v>101</v>
      </c>
      <c r="I48" s="166" t="e">
        <f>'8a) OK 2021'!#REF!</f>
        <v>#REF!</v>
      </c>
      <c r="J48" s="166" t="e">
        <f>'8a) OK 2021'!#REF!</f>
        <v>#REF!</v>
      </c>
      <c r="K48" s="166" t="e">
        <f>'8a) OK 2021'!#REF!</f>
        <v>#REF!</v>
      </c>
      <c r="N48" s="481"/>
      <c r="O48" s="481"/>
      <c r="P48" s="481"/>
    </row>
    <row r="49" spans="1:13" s="22" customFormat="1" ht="17.25" customHeight="1" x14ac:dyDescent="0.2">
      <c r="A49" s="535" t="s">
        <v>274</v>
      </c>
      <c r="B49" s="483">
        <v>1093366000</v>
      </c>
      <c r="C49" s="483"/>
      <c r="D49" s="483"/>
      <c r="F49" s="513"/>
      <c r="G49" s="514"/>
      <c r="H49" s="429" t="s">
        <v>34</v>
      </c>
      <c r="I49" s="125">
        <f>'8a) OK 2021'!J258</f>
        <v>1672000</v>
      </c>
      <c r="J49" s="125">
        <f>'8a) OK 2021'!K258</f>
        <v>3909000</v>
      </c>
      <c r="K49" s="125">
        <f>'8a) OK 2021'!L258</f>
        <v>2838802.34</v>
      </c>
    </row>
    <row r="50" spans="1:13" s="22" customFormat="1" x14ac:dyDescent="0.2">
      <c r="A50" s="598"/>
      <c r="B50" s="598"/>
      <c r="C50" s="598"/>
      <c r="D50" s="598"/>
      <c r="F50" s="108"/>
      <c r="G50" s="28"/>
      <c r="H50" s="430" t="s">
        <v>32</v>
      </c>
      <c r="I50" s="122" t="e">
        <f>'8a) OK 2021'!J259+'8a) OK 2021'!#REF!</f>
        <v>#REF!</v>
      </c>
      <c r="J50" s="122" t="e">
        <f>'8a) OK 2021'!K259+'8a) OK 2021'!#REF!</f>
        <v>#REF!</v>
      </c>
      <c r="K50" s="122" t="e">
        <f>'8a) OK 2021'!L259+'8a) OK 2021'!#REF!</f>
        <v>#REF!</v>
      </c>
    </row>
    <row r="51" spans="1:13" s="22" customFormat="1" x14ac:dyDescent="0.2">
      <c r="A51" s="598"/>
      <c r="B51" s="598"/>
      <c r="C51" s="598"/>
      <c r="D51" s="598"/>
      <c r="F51" s="483"/>
      <c r="H51" s="431" t="s">
        <v>37</v>
      </c>
      <c r="I51" s="163">
        <f>'8b) Projekty spolufinancované'!J172</f>
        <v>357701000</v>
      </c>
      <c r="J51" s="163">
        <f>'8b) Projekty spolufinancované'!K172</f>
        <v>280599621.45999998</v>
      </c>
      <c r="K51" s="163">
        <f>'8b) Projekty spolufinancované'!L172</f>
        <v>253806660.13999999</v>
      </c>
    </row>
    <row r="52" spans="1:13" s="28" customFormat="1" ht="15.75" x14ac:dyDescent="0.25">
      <c r="A52" s="516"/>
      <c r="B52" s="517">
        <f>B28+16180000-1672000</f>
        <v>1093366000</v>
      </c>
      <c r="C52" s="516"/>
      <c r="D52" s="516"/>
      <c r="H52" s="432" t="s">
        <v>39</v>
      </c>
      <c r="I52" s="172">
        <f>'8b) Projekty spolufinancované'!J173</f>
        <v>227737000</v>
      </c>
      <c r="J52" s="172">
        <f>'8b) Projekty spolufinancované'!K173</f>
        <v>223919431.03999999</v>
      </c>
      <c r="K52" s="172">
        <f>'8b) Projekty spolufinancované'!L173</f>
        <v>200783969.56999999</v>
      </c>
    </row>
    <row r="53" spans="1:13" s="28" customFormat="1" x14ac:dyDescent="0.2">
      <c r="A53" s="107"/>
      <c r="B53" s="548">
        <f>B49-B52</f>
        <v>0</v>
      </c>
      <c r="E53" s="108"/>
      <c r="F53" s="107"/>
      <c r="G53" s="108"/>
      <c r="H53" s="433" t="s">
        <v>35</v>
      </c>
      <c r="I53" s="171">
        <f>'8b) Projekty spolufinancované'!J174</f>
        <v>55053000</v>
      </c>
      <c r="J53" s="171">
        <f>'8b) Projekty spolufinancované'!K174</f>
        <v>12543761.48</v>
      </c>
      <c r="K53" s="171">
        <f>'8b) Projekty spolufinancované'!L174</f>
        <v>10979675.9</v>
      </c>
      <c r="L53" s="106"/>
      <c r="M53" s="106"/>
    </row>
    <row r="54" spans="1:13" s="28" customFormat="1" x14ac:dyDescent="0.2">
      <c r="A54" s="106"/>
      <c r="B54" s="106"/>
      <c r="E54" s="106"/>
      <c r="F54" s="106"/>
      <c r="G54" s="106"/>
      <c r="H54" s="434" t="s">
        <v>33</v>
      </c>
      <c r="I54" s="165" t="e">
        <f>'8a) OK 2021'!J260+'8a) OK 2021'!#REF!+'8b) Projekty spolufinancované'!J175</f>
        <v>#REF!</v>
      </c>
      <c r="J54" s="165" t="e">
        <f>'8a) OK 2021'!K260+'8a) OK 2021'!#REF!+'8b) Projekty spolufinancované'!K175</f>
        <v>#REF!</v>
      </c>
      <c r="K54" s="165" t="e">
        <f>'8a) OK 2021'!L260+'8a) OK 2021'!#REF!+'8b) Projekty spolufinancované'!L175</f>
        <v>#REF!</v>
      </c>
      <c r="L54" s="106"/>
      <c r="M54" s="106"/>
    </row>
    <row r="55" spans="1:13" s="28" customFormat="1" x14ac:dyDescent="0.2">
      <c r="A55" s="106"/>
      <c r="B55" s="106"/>
      <c r="E55" s="106"/>
      <c r="F55" s="106"/>
      <c r="G55" s="106"/>
      <c r="H55" s="441" t="s">
        <v>117</v>
      </c>
      <c r="I55" s="442">
        <f>'8c) SMN'!I20</f>
        <v>27536000</v>
      </c>
      <c r="J55" s="442">
        <f>'8c) SMN'!J20</f>
        <v>31174953.690000001</v>
      </c>
      <c r="K55" s="442">
        <f>'8c) SMN'!K20</f>
        <v>29505423.100000001</v>
      </c>
      <c r="L55" s="106"/>
      <c r="M55" s="106"/>
    </row>
    <row r="56" spans="1:13" s="28" customFormat="1" ht="15" x14ac:dyDescent="0.25">
      <c r="H56" s="22"/>
      <c r="I56" s="138" t="e">
        <f>SUM(I46:I55)</f>
        <v>#REF!</v>
      </c>
      <c r="J56" s="138" t="e">
        <f>SUM(J46:J55)</f>
        <v>#REF!</v>
      </c>
      <c r="K56" s="138" t="e">
        <f>SUM(K46:K55)</f>
        <v>#REF!</v>
      </c>
    </row>
    <row r="57" spans="1:13" s="28" customFormat="1" x14ac:dyDescent="0.2"/>
    <row r="58" spans="1:13" s="28" customFormat="1" x14ac:dyDescent="0.2"/>
    <row r="59" spans="1:13" s="28" customFormat="1" x14ac:dyDescent="0.2">
      <c r="I59" s="515"/>
    </row>
    <row r="60" spans="1:13" s="28" customFormat="1" x14ac:dyDescent="0.2">
      <c r="K60" s="515"/>
    </row>
    <row r="61" spans="1:13" s="28" customFormat="1" x14ac:dyDescent="0.2"/>
    <row r="62" spans="1:13" s="28" customFormat="1" x14ac:dyDescent="0.2"/>
    <row r="63" spans="1:13" s="28" customFormat="1" x14ac:dyDescent="0.2">
      <c r="J63" s="486"/>
    </row>
    <row r="64" spans="1:13" s="28" customFormat="1" x14ac:dyDescent="0.2">
      <c r="J64" s="486"/>
    </row>
    <row r="65" spans="10:10" s="28" customFormat="1" x14ac:dyDescent="0.2">
      <c r="J65" s="486"/>
    </row>
    <row r="66" spans="10:10" s="28" customFormat="1" x14ac:dyDescent="0.2"/>
    <row r="67" spans="10:10" s="28" customFormat="1" x14ac:dyDescent="0.2"/>
    <row r="68" spans="10:10" s="28" customFormat="1" x14ac:dyDescent="0.2"/>
    <row r="69" spans="10:10" s="28" customFormat="1" x14ac:dyDescent="0.2"/>
    <row r="70" spans="10:10" s="28" customFormat="1" x14ac:dyDescent="0.2"/>
    <row r="71" spans="10:10" s="28" customFormat="1" x14ac:dyDescent="0.2"/>
  </sheetData>
  <mergeCells count="3">
    <mergeCell ref="A50:D51"/>
    <mergeCell ref="F39:G39"/>
    <mergeCell ref="F33:G33"/>
  </mergeCells>
  <pageMargins left="0.78740157480314965" right="0.78740157480314965" top="0.98425196850393704" bottom="0.98425196850393704" header="0.51181102362204722" footer="0.51181102362204722"/>
  <pageSetup paperSize="9" scale="91" firstPageNumber="47" orientation="portrait" useFirstPageNumber="1" r:id="rId1"/>
  <headerFooter alignWithMargins="0">
    <oddFooter>&amp;L&amp;"Arial,Kurzíva"Zastupitelstvo Olomouckého kraje 27. 6. 2022
7.2. - Rozpočet Olomouckého kraje 2021 – závěrečný účet
Příloha č. 8: Přehled financování oprav a investic v roce 2021&amp;R&amp;"Arial,Kurzíva"Strana &amp;P (celkem 282)</oddFooter>
  </headerFooter>
  <ignoredErrors>
    <ignoredError sqref="B8:D8 B5:D5 B14:D14 B26:D26 B23:D23 B25:D25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59"/>
  <sheetViews>
    <sheetView showGridLines="0" view="pageBreakPreview" zoomScaleNormal="100" zoomScaleSheetLayoutView="100" workbookViewId="0">
      <selection activeCell="D32" sqref="D32"/>
    </sheetView>
  </sheetViews>
  <sheetFormatPr defaultColWidth="9.140625" defaultRowHeight="12.75" x14ac:dyDescent="0.2"/>
  <cols>
    <col min="1" max="1" width="36.140625" style="5" customWidth="1"/>
    <col min="2" max="2" width="19" style="5" customWidth="1"/>
    <col min="3" max="3" width="20.140625" style="5" customWidth="1"/>
    <col min="4" max="4" width="19.42578125" style="5" customWidth="1"/>
    <col min="5" max="5" width="3.28515625" style="5" customWidth="1"/>
    <col min="6" max="6" width="22.5703125" style="5" customWidth="1"/>
    <col min="7" max="7" width="13.5703125" style="5" customWidth="1"/>
    <col min="8" max="8" width="16.28515625" style="5" bestFit="1" customWidth="1"/>
    <col min="9" max="9" width="18.85546875" style="5" customWidth="1"/>
    <col min="10" max="10" width="17.85546875" style="5" customWidth="1"/>
    <col min="11" max="11" width="19.42578125" style="5" customWidth="1"/>
    <col min="12" max="12" width="5" style="5" customWidth="1"/>
    <col min="13" max="13" width="3.85546875" style="5" customWidth="1"/>
    <col min="14" max="14" width="17.28515625" style="5" bestFit="1" customWidth="1"/>
    <col min="15" max="15" width="17.42578125" style="5" customWidth="1"/>
    <col min="16" max="16" width="18.140625" style="5" customWidth="1"/>
    <col min="17" max="16384" width="9.140625" style="5"/>
  </cols>
  <sheetData>
    <row r="1" spans="1:9" ht="18" x14ac:dyDescent="0.25">
      <c r="A1" s="6" t="s">
        <v>334</v>
      </c>
      <c r="B1" s="7"/>
      <c r="C1" s="7"/>
      <c r="D1" s="7"/>
    </row>
    <row r="2" spans="1:9" ht="18.75" thickBot="1" x14ac:dyDescent="0.3">
      <c r="A2" s="8"/>
      <c r="B2" s="9"/>
      <c r="C2" s="9"/>
      <c r="D2" s="10" t="s">
        <v>18</v>
      </c>
    </row>
    <row r="3" spans="1:9" ht="14.25" thickTop="1" thickBot="1" x14ac:dyDescent="0.25">
      <c r="A3" s="11"/>
      <c r="B3" s="12" t="s">
        <v>0</v>
      </c>
      <c r="C3" s="13" t="s">
        <v>1</v>
      </c>
      <c r="D3" s="14" t="s">
        <v>4</v>
      </c>
    </row>
    <row r="4" spans="1:9" ht="16.5" thickTop="1" x14ac:dyDescent="0.25">
      <c r="A4" s="15" t="s">
        <v>7</v>
      </c>
      <c r="B4" s="154">
        <f>SUM(B5:B6)</f>
        <v>0</v>
      </c>
      <c r="C4" s="154">
        <f>SUM(C5:C6)</f>
        <v>13600872.830000002</v>
      </c>
      <c r="D4" s="155">
        <f>SUM(D5:D6)</f>
        <v>13348470.480000002</v>
      </c>
    </row>
    <row r="5" spans="1:9" x14ac:dyDescent="0.2">
      <c r="A5" s="151" t="s">
        <v>25</v>
      </c>
      <c r="B5" s="133">
        <f>'8a) OK 2021'!B50</f>
        <v>0</v>
      </c>
      <c r="C5" s="133">
        <f>'8a) OK 2021'!C50</f>
        <v>10539471.670000002</v>
      </c>
      <c r="D5" s="152">
        <f>'8a) OK 2021'!D50</f>
        <v>10539471.670000002</v>
      </c>
    </row>
    <row r="6" spans="1:9" x14ac:dyDescent="0.2">
      <c r="A6" s="151" t="s">
        <v>118</v>
      </c>
      <c r="B6" s="133">
        <f>'8b) Projekty spolufinancované'!B26</f>
        <v>0</v>
      </c>
      <c r="C6" s="133">
        <f>'8b) Projekty spolufinancované'!C26</f>
        <v>3061401.16</v>
      </c>
      <c r="D6" s="152">
        <f>'8b) Projekty spolufinancované'!D26</f>
        <v>2808998.81</v>
      </c>
    </row>
    <row r="7" spans="1:9" ht="15.75" x14ac:dyDescent="0.25">
      <c r="A7" s="153" t="s">
        <v>9</v>
      </c>
      <c r="B7" s="154">
        <f>SUM(B8:B9)</f>
        <v>0</v>
      </c>
      <c r="C7" s="154">
        <f>SUM(C8:C9)</f>
        <v>3600367.07</v>
      </c>
      <c r="D7" s="155">
        <f>SUM(D8:D9)</f>
        <v>3600367.07</v>
      </c>
    </row>
    <row r="8" spans="1:9" x14ac:dyDescent="0.2">
      <c r="A8" s="151" t="s">
        <v>25</v>
      </c>
      <c r="B8" s="133">
        <f>'8a) OK 2021'!B118</f>
        <v>0</v>
      </c>
      <c r="C8" s="133">
        <f>'8a) OK 2021'!C118</f>
        <v>3581367.07</v>
      </c>
      <c r="D8" s="152">
        <f>'8a) OK 2021'!D118</f>
        <v>3581367.07</v>
      </c>
      <c r="G8" s="16"/>
      <c r="H8" s="17"/>
      <c r="I8" s="18"/>
    </row>
    <row r="9" spans="1:9" x14ac:dyDescent="0.2">
      <c r="A9" s="151" t="s">
        <v>118</v>
      </c>
      <c r="B9" s="133">
        <f>'8b) Projekty spolufinancované'!B62</f>
        <v>0</v>
      </c>
      <c r="C9" s="133">
        <f>'8b) Projekty spolufinancované'!C62</f>
        <v>19000</v>
      </c>
      <c r="D9" s="152">
        <f>'8b) Projekty spolufinancované'!D62</f>
        <v>19000</v>
      </c>
      <c r="G9" s="16"/>
      <c r="H9" s="17"/>
      <c r="I9" s="18"/>
    </row>
    <row r="10" spans="1:9" ht="15.75" x14ac:dyDescent="0.25">
      <c r="A10" s="153" t="s">
        <v>8</v>
      </c>
      <c r="B10" s="154">
        <f>SUM(B11:B12)</f>
        <v>600000</v>
      </c>
      <c r="C10" s="154">
        <f t="shared" ref="C10:D10" si="0">SUM(C11:C12)</f>
        <v>8866912.0999999996</v>
      </c>
      <c r="D10" s="155">
        <f t="shared" si="0"/>
        <v>8866912.0999999996</v>
      </c>
    </row>
    <row r="11" spans="1:9" x14ac:dyDescent="0.2">
      <c r="A11" s="151" t="s">
        <v>25</v>
      </c>
      <c r="B11" s="133">
        <f>'8a) OK 2021'!B155</f>
        <v>600000</v>
      </c>
      <c r="C11" s="133">
        <f>'8a) OK 2021'!C155</f>
        <v>6254714.3399999999</v>
      </c>
      <c r="D11" s="152">
        <f>'8a) OK 2021'!D155</f>
        <v>6254714.3399999999</v>
      </c>
    </row>
    <row r="12" spans="1:9" x14ac:dyDescent="0.2">
      <c r="A12" s="151" t="s">
        <v>118</v>
      </c>
      <c r="B12" s="133">
        <f>'8b) Projekty spolufinancované'!B79</f>
        <v>0</v>
      </c>
      <c r="C12" s="133">
        <f>'8b) Projekty spolufinancované'!C79</f>
        <v>2612197.7599999998</v>
      </c>
      <c r="D12" s="152">
        <f>'8b) Projekty spolufinancované'!D79</f>
        <v>2612197.7599999998</v>
      </c>
    </row>
    <row r="13" spans="1:9" ht="15.75" x14ac:dyDescent="0.25">
      <c r="A13" s="153" t="s">
        <v>11</v>
      </c>
      <c r="B13" s="154">
        <f>SUM(B14:B15)</f>
        <v>40722000</v>
      </c>
      <c r="C13" s="154">
        <f>SUM(C14:C15)</f>
        <v>719158431.6099999</v>
      </c>
      <c r="D13" s="155">
        <f>SUM(D14:D15)</f>
        <v>719158431.61000013</v>
      </c>
    </row>
    <row r="14" spans="1:9" x14ac:dyDescent="0.2">
      <c r="A14" s="151" t="s">
        <v>25</v>
      </c>
      <c r="B14" s="133">
        <f>'8a) OK 2021'!B190</f>
        <v>0</v>
      </c>
      <c r="C14" s="133">
        <f>'8a) OK 2021'!C190</f>
        <v>66088489.939999998</v>
      </c>
      <c r="D14" s="152">
        <f>'8a) OK 2021'!D190</f>
        <v>66088489.939999998</v>
      </c>
    </row>
    <row r="15" spans="1:9" x14ac:dyDescent="0.2">
      <c r="A15" s="151" t="s">
        <v>118</v>
      </c>
      <c r="B15" s="133">
        <f>'8b) Projekty spolufinancované'!B104</f>
        <v>40722000</v>
      </c>
      <c r="C15" s="133">
        <f>'8b) Projekty spolufinancované'!C104</f>
        <v>653069941.66999996</v>
      </c>
      <c r="D15" s="152">
        <f>'8b) Projekty spolufinancované'!D104</f>
        <v>653069941.67000008</v>
      </c>
    </row>
    <row r="16" spans="1:9" ht="15.75" x14ac:dyDescent="0.25">
      <c r="A16" s="153" t="s">
        <v>10</v>
      </c>
      <c r="B16" s="154">
        <f>SUM(B17:B17)</f>
        <v>55308000</v>
      </c>
      <c r="C16" s="154">
        <f>SUM(C17:C17)</f>
        <v>41198341.100000001</v>
      </c>
      <c r="D16" s="155">
        <f>SUM(D17:D17)</f>
        <v>34192465.900000006</v>
      </c>
    </row>
    <row r="17" spans="1:16" ht="13.5" thickBot="1" x14ac:dyDescent="0.25">
      <c r="A17" s="151" t="s">
        <v>25</v>
      </c>
      <c r="B17" s="133">
        <f>'8a) OK 2021'!B223</f>
        <v>55308000</v>
      </c>
      <c r="C17" s="133">
        <f>'8a) OK 2021'!C223</f>
        <v>41198341.100000001</v>
      </c>
      <c r="D17" s="152">
        <f>'8a) OK 2021'!D223</f>
        <v>34192465.900000006</v>
      </c>
    </row>
    <row r="18" spans="1:16" ht="17.25" thickTop="1" thickBot="1" x14ac:dyDescent="0.3">
      <c r="A18" s="19" t="s">
        <v>27</v>
      </c>
      <c r="B18" s="20">
        <f>B16+B13+B10+B7+B4</f>
        <v>96630000</v>
      </c>
      <c r="C18" s="20">
        <f>C16+C13+C10+C7+C4</f>
        <v>786424924.71000004</v>
      </c>
      <c r="D18" s="444">
        <f>D16+D13+D10+D7+D4</f>
        <v>779166647.16000021</v>
      </c>
    </row>
    <row r="19" spans="1:16" ht="16.5" thickTop="1" x14ac:dyDescent="0.25">
      <c r="A19" s="484"/>
      <c r="B19" s="21"/>
      <c r="C19" s="21"/>
      <c r="D19" s="21"/>
    </row>
    <row r="20" spans="1:16" ht="15.75" x14ac:dyDescent="0.25">
      <c r="A20" s="484"/>
      <c r="B20" s="21"/>
      <c r="C20" s="21"/>
      <c r="D20" s="21"/>
    </row>
    <row r="21" spans="1:16" ht="15.75" x14ac:dyDescent="0.25">
      <c r="A21" s="23" t="s">
        <v>120</v>
      </c>
      <c r="B21" s="21"/>
      <c r="C21" s="21"/>
      <c r="D21" s="21"/>
    </row>
    <row r="22" spans="1:16" ht="16.5" thickBot="1" x14ac:dyDescent="0.3">
      <c r="A22" s="23"/>
      <c r="B22" s="21"/>
      <c r="C22" s="21"/>
      <c r="D22" s="10" t="s">
        <v>18</v>
      </c>
    </row>
    <row r="23" spans="1:16" ht="15.75" thickTop="1" thickBot="1" x14ac:dyDescent="0.25">
      <c r="A23" s="11"/>
      <c r="B23" s="12" t="s">
        <v>0</v>
      </c>
      <c r="C23" s="13" t="s">
        <v>1</v>
      </c>
      <c r="D23" s="14" t="s">
        <v>4</v>
      </c>
      <c r="F23" s="601"/>
      <c r="G23" s="601"/>
    </row>
    <row r="24" spans="1:16" ht="15" thickTop="1" x14ac:dyDescent="0.2">
      <c r="A24" s="24" t="s">
        <v>121</v>
      </c>
      <c r="B24" s="25">
        <f>B17+B14+B11+B8+B5</f>
        <v>55908000</v>
      </c>
      <c r="C24" s="25">
        <f>C17+C14+C11+C8+C5</f>
        <v>127662384.11999999</v>
      </c>
      <c r="D24" s="524">
        <f>D17+D14+D11+D8+D5</f>
        <v>120656508.92</v>
      </c>
      <c r="F24" s="520"/>
      <c r="G24" s="520"/>
    </row>
    <row r="25" spans="1:16" ht="15" thickBot="1" x14ac:dyDescent="0.25">
      <c r="A25" s="158" t="s">
        <v>122</v>
      </c>
      <c r="B25" s="159">
        <f>+B15+B6+B9+B12</f>
        <v>40722000</v>
      </c>
      <c r="C25" s="159">
        <f t="shared" ref="C25:D25" si="1">+C15+C6+C9+C12</f>
        <v>658762540.58999991</v>
      </c>
      <c r="D25" s="159">
        <f t="shared" si="1"/>
        <v>658510138.24000001</v>
      </c>
      <c r="F25" s="521"/>
      <c r="G25" s="522"/>
    </row>
    <row r="26" spans="1:16" s="22" customFormat="1" ht="17.25" thickTop="1" thickBot="1" x14ac:dyDescent="0.3">
      <c r="A26" s="19" t="s">
        <v>27</v>
      </c>
      <c r="B26" s="20">
        <f>SUM(B24:B25)</f>
        <v>96630000</v>
      </c>
      <c r="C26" s="20">
        <f>SUM(C24:C25)</f>
        <v>786424924.70999992</v>
      </c>
      <c r="D26" s="444">
        <f>SUM(D24:D25)</f>
        <v>779166647.15999997</v>
      </c>
      <c r="F26" s="518"/>
      <c r="G26" s="519"/>
    </row>
    <row r="27" spans="1:16" s="22" customFormat="1" ht="16.5" thickTop="1" x14ac:dyDescent="0.25">
      <c r="A27" s="484"/>
      <c r="B27" s="21"/>
      <c r="C27" s="21"/>
      <c r="D27" s="21"/>
      <c r="F27" s="516"/>
      <c r="G27" s="516"/>
    </row>
    <row r="28" spans="1:16" s="22" customFormat="1" ht="15.75" x14ac:dyDescent="0.25">
      <c r="A28" s="484"/>
      <c r="B28" s="21"/>
      <c r="C28" s="21"/>
      <c r="D28" s="21"/>
      <c r="F28" s="601"/>
      <c r="G28" s="601"/>
    </row>
    <row r="29" spans="1:16" s="22" customFormat="1" ht="15.75" x14ac:dyDescent="0.25">
      <c r="A29" s="23" t="s">
        <v>124</v>
      </c>
      <c r="B29" s="21"/>
      <c r="C29" s="21"/>
      <c r="D29" s="21"/>
      <c r="F29" s="520"/>
      <c r="G29" s="520"/>
    </row>
    <row r="30" spans="1:16" s="22" customFormat="1" ht="16.5" thickBot="1" x14ac:dyDescent="0.3">
      <c r="A30" s="23"/>
      <c r="B30" s="21"/>
      <c r="C30" s="21"/>
      <c r="D30" s="10" t="s">
        <v>18</v>
      </c>
      <c r="F30" s="521"/>
      <c r="G30" s="522"/>
    </row>
    <row r="31" spans="1:16" s="22" customFormat="1" ht="14.25" thickTop="1" thickBot="1" x14ac:dyDescent="0.25">
      <c r="A31" s="11"/>
      <c r="B31" s="12" t="s">
        <v>0</v>
      </c>
      <c r="C31" s="13" t="s">
        <v>1</v>
      </c>
      <c r="D31" s="14" t="s">
        <v>4</v>
      </c>
      <c r="F31" s="518"/>
      <c r="G31" s="519"/>
    </row>
    <row r="32" spans="1:16" s="26" customFormat="1" ht="15" thickTop="1" x14ac:dyDescent="0.2">
      <c r="A32" s="553" t="s">
        <v>125</v>
      </c>
      <c r="B32" s="554">
        <f>'8a) OK 2021'!J260+'8b) Projekty spolufinancované'!J175-B33</f>
        <v>96630000</v>
      </c>
      <c r="C32" s="554">
        <f>'8a) OK 2021'!K260+'8b) Projekty spolufinancované'!K175-C33-C34</f>
        <v>160004464.14999998</v>
      </c>
      <c r="D32" s="555">
        <f>'8a) OK 2021'!L260+'8b) Projekty spolufinancované'!L175-D33-D34</f>
        <v>152746186.59999996</v>
      </c>
      <c r="F32" s="518"/>
      <c r="G32" s="519"/>
      <c r="N32" s="487"/>
      <c r="O32" s="487"/>
      <c r="P32" s="487"/>
    </row>
    <row r="33" spans="1:16" s="26" customFormat="1" ht="14.25" x14ac:dyDescent="0.2">
      <c r="A33" s="158" t="s">
        <v>126</v>
      </c>
      <c r="B33" s="159">
        <f>'8b) Projekty spolufinancované'!J108</f>
        <v>0</v>
      </c>
      <c r="C33" s="159">
        <f>'8b) Projekty spolufinancované'!K108</f>
        <v>266642369.66999999</v>
      </c>
      <c r="D33" s="159">
        <f>'8b) Projekty spolufinancované'!L108</f>
        <v>266642369.67000002</v>
      </c>
      <c r="F33" s="518"/>
      <c r="G33" s="519"/>
      <c r="N33" s="487"/>
      <c r="O33" s="487"/>
      <c r="P33" s="487"/>
    </row>
    <row r="34" spans="1:16" s="26" customFormat="1" ht="15" thickBot="1" x14ac:dyDescent="0.25">
      <c r="A34" s="556" t="s">
        <v>278</v>
      </c>
      <c r="B34" s="557">
        <f>'8b) Projekty spolufinancované'!B107</f>
        <v>0</v>
      </c>
      <c r="C34" s="557">
        <f>'8b) Projekty spolufinancované'!C107</f>
        <v>359778090.88999999</v>
      </c>
      <c r="D34" s="558">
        <f>'8b) Projekty spolufinancované'!D107</f>
        <v>359778090.88999999</v>
      </c>
      <c r="F34" s="523"/>
      <c r="G34" s="523"/>
      <c r="N34" s="487"/>
      <c r="O34" s="487"/>
      <c r="P34" s="487"/>
    </row>
    <row r="35" spans="1:16" s="27" customFormat="1" ht="17.25" thickTop="1" thickBot="1" x14ac:dyDescent="0.3">
      <c r="A35" s="19" t="s">
        <v>27</v>
      </c>
      <c r="B35" s="20">
        <f>SUM(B32:B34)</f>
        <v>96630000</v>
      </c>
      <c r="C35" s="20">
        <f t="shared" ref="C35:D35" si="2">SUM(C32:C34)</f>
        <v>786424924.70999992</v>
      </c>
      <c r="D35" s="444">
        <f t="shared" si="2"/>
        <v>779166647.15999997</v>
      </c>
      <c r="F35" s="518"/>
      <c r="G35" s="519"/>
      <c r="H35" s="428"/>
      <c r="I35" s="166"/>
      <c r="J35" s="166"/>
      <c r="K35" s="166"/>
      <c r="N35" s="487"/>
      <c r="O35" s="487"/>
      <c r="P35" s="487"/>
    </row>
    <row r="36" spans="1:16" s="27" customFormat="1" ht="17.25" customHeight="1" thickTop="1" x14ac:dyDescent="0.2">
      <c r="B36" s="481"/>
      <c r="D36" s="481"/>
      <c r="F36" s="518"/>
      <c r="G36" s="519"/>
      <c r="H36" s="428"/>
      <c r="I36" s="166"/>
      <c r="J36" s="166"/>
      <c r="K36" s="166"/>
      <c r="N36" s="481"/>
      <c r="O36" s="481"/>
      <c r="P36" s="481"/>
    </row>
    <row r="37" spans="1:16" s="22" customFormat="1" ht="17.25" customHeight="1" x14ac:dyDescent="0.2">
      <c r="B37" s="483"/>
      <c r="D37" s="483"/>
      <c r="F37" s="518"/>
      <c r="G37" s="519"/>
      <c r="H37" s="429"/>
      <c r="I37" s="125"/>
      <c r="J37" s="125"/>
      <c r="K37" s="125"/>
    </row>
    <row r="38" spans="1:16" s="22" customFormat="1" x14ac:dyDescent="0.2">
      <c r="A38" s="598"/>
      <c r="B38" s="598"/>
      <c r="C38" s="598"/>
      <c r="D38" s="598"/>
      <c r="F38" s="108"/>
      <c r="G38" s="28"/>
      <c r="H38" s="430"/>
      <c r="I38" s="122"/>
      <c r="J38" s="122"/>
      <c r="K38" s="122"/>
    </row>
    <row r="39" spans="1:16" s="22" customFormat="1" x14ac:dyDescent="0.2">
      <c r="A39" s="598"/>
      <c r="B39" s="598"/>
      <c r="C39" s="598"/>
      <c r="D39" s="598"/>
      <c r="H39" s="431"/>
      <c r="I39" s="163"/>
      <c r="J39" s="163"/>
      <c r="K39" s="163"/>
    </row>
    <row r="40" spans="1:16" s="28" customFormat="1" ht="15.75" x14ac:dyDescent="0.25">
      <c r="A40" s="516"/>
      <c r="B40" s="517"/>
      <c r="C40" s="516"/>
      <c r="D40" s="516"/>
      <c r="H40" s="432"/>
      <c r="I40" s="172"/>
      <c r="J40" s="172"/>
      <c r="K40" s="172"/>
    </row>
    <row r="41" spans="1:16" s="28" customFormat="1" x14ac:dyDescent="0.2">
      <c r="A41" s="107"/>
      <c r="B41" s="108"/>
      <c r="E41" s="108"/>
      <c r="F41" s="107"/>
      <c r="G41" s="108"/>
      <c r="H41" s="433"/>
      <c r="I41" s="171"/>
      <c r="J41" s="171"/>
      <c r="K41" s="171"/>
      <c r="L41" s="106"/>
      <c r="M41" s="106"/>
    </row>
    <row r="42" spans="1:16" s="28" customFormat="1" x14ac:dyDescent="0.2">
      <c r="A42" s="106"/>
      <c r="B42" s="106"/>
      <c r="E42" s="106"/>
      <c r="F42" s="106"/>
      <c r="G42" s="106"/>
      <c r="H42" s="434"/>
      <c r="I42" s="165"/>
      <c r="J42" s="165"/>
      <c r="K42" s="165"/>
      <c r="L42" s="106"/>
      <c r="M42" s="106"/>
    </row>
    <row r="43" spans="1:16" s="28" customFormat="1" x14ac:dyDescent="0.2">
      <c r="A43" s="106"/>
      <c r="B43" s="106"/>
      <c r="E43" s="106"/>
      <c r="F43" s="106"/>
      <c r="G43" s="106"/>
      <c r="H43" s="441"/>
      <c r="I43" s="442"/>
      <c r="J43" s="442"/>
      <c r="K43" s="442"/>
      <c r="L43" s="106"/>
      <c r="M43" s="106"/>
    </row>
    <row r="44" spans="1:16" s="28" customFormat="1" ht="15" x14ac:dyDescent="0.25">
      <c r="H44" s="22"/>
      <c r="I44" s="138"/>
      <c r="J44" s="138"/>
      <c r="K44" s="138"/>
    </row>
    <row r="45" spans="1:16" s="28" customFormat="1" x14ac:dyDescent="0.2"/>
    <row r="46" spans="1:16" s="28" customFormat="1" x14ac:dyDescent="0.2"/>
    <row r="47" spans="1:16" s="28" customFormat="1" x14ac:dyDescent="0.2">
      <c r="I47" s="515"/>
    </row>
    <row r="48" spans="1:16" s="28" customFormat="1" x14ac:dyDescent="0.2"/>
    <row r="49" spans="10:10" s="28" customFormat="1" x14ac:dyDescent="0.2"/>
    <row r="50" spans="10:10" s="28" customFormat="1" x14ac:dyDescent="0.2"/>
    <row r="51" spans="10:10" s="28" customFormat="1" x14ac:dyDescent="0.2">
      <c r="J51" s="486"/>
    </row>
    <row r="52" spans="10:10" s="28" customFormat="1" x14ac:dyDescent="0.2">
      <c r="J52" s="486"/>
    </row>
    <row r="53" spans="10:10" s="28" customFormat="1" x14ac:dyDescent="0.2">
      <c r="J53" s="486"/>
    </row>
    <row r="54" spans="10:10" s="28" customFormat="1" x14ac:dyDescent="0.2"/>
    <row r="55" spans="10:10" s="28" customFormat="1" x14ac:dyDescent="0.2"/>
    <row r="56" spans="10:10" s="28" customFormat="1" x14ac:dyDescent="0.2"/>
    <row r="57" spans="10:10" s="28" customFormat="1" x14ac:dyDescent="0.2"/>
    <row r="58" spans="10:10" s="28" customFormat="1" x14ac:dyDescent="0.2"/>
    <row r="59" spans="10:10" s="28" customFormat="1" x14ac:dyDescent="0.2"/>
  </sheetData>
  <mergeCells count="3">
    <mergeCell ref="F23:G23"/>
    <mergeCell ref="F28:G28"/>
    <mergeCell ref="A38:D39"/>
  </mergeCells>
  <pageMargins left="0.78740157480314965" right="0.78740157480314965" top="0.98425196850393704" bottom="0.98425196850393704" header="0.51181102362204722" footer="0.51181102362204722"/>
  <pageSetup paperSize="9" scale="91" firstPageNumber="168" orientation="portrait" useFirstPageNumber="1" r:id="rId1"/>
  <headerFooter alignWithMargins="0"/>
  <ignoredErrors>
    <ignoredError sqref="B8:D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70"/>
  <sheetViews>
    <sheetView showGridLines="0" view="pageBreakPreview" topLeftCell="A16" zoomScaleNormal="100" zoomScaleSheetLayoutView="100" workbookViewId="0">
      <selection activeCell="D32" sqref="D32"/>
    </sheetView>
  </sheetViews>
  <sheetFormatPr defaultColWidth="9.140625" defaultRowHeight="12.75" x14ac:dyDescent="0.2"/>
  <cols>
    <col min="1" max="1" width="77.7109375" style="5" customWidth="1"/>
    <col min="2" max="2" width="17.140625" style="5" customWidth="1"/>
    <col min="3" max="3" width="17.42578125" style="5" customWidth="1"/>
    <col min="4" max="4" width="17.28515625" style="5" bestFit="1" customWidth="1"/>
    <col min="5" max="5" width="7.5703125" style="37" customWidth="1"/>
    <col min="6" max="6" width="8.85546875" style="90" customWidth="1"/>
    <col min="7" max="7" width="22.42578125" style="38" customWidth="1"/>
    <col min="8" max="8" width="9.85546875" style="38" customWidth="1"/>
    <col min="9" max="9" width="19.42578125" style="5" customWidth="1"/>
    <col min="10" max="10" width="17.42578125" style="5" customWidth="1"/>
    <col min="11" max="11" width="20.7109375" style="5" customWidth="1"/>
    <col min="12" max="12" width="17.5703125" style="5" customWidth="1"/>
    <col min="13" max="13" width="14.28515625" style="5" customWidth="1"/>
    <col min="14" max="16384" width="9.140625" style="5"/>
  </cols>
  <sheetData>
    <row r="1" spans="1:12" s="32" customFormat="1" ht="18" x14ac:dyDescent="0.25">
      <c r="A1" s="29" t="s">
        <v>281</v>
      </c>
      <c r="B1" s="29"/>
      <c r="C1" s="29"/>
      <c r="D1" s="29"/>
      <c r="E1" s="29"/>
      <c r="F1" s="89"/>
      <c r="G1" s="30"/>
      <c r="H1" s="31"/>
    </row>
    <row r="2" spans="1:12" s="35" customFormat="1" ht="15.75" x14ac:dyDescent="0.25">
      <c r="A2" s="33" t="s">
        <v>75</v>
      </c>
      <c r="B2" s="34"/>
      <c r="C2" s="34"/>
      <c r="D2" s="34"/>
      <c r="E2" s="34"/>
      <c r="F2" s="89"/>
      <c r="G2" s="30"/>
      <c r="H2" s="31"/>
    </row>
    <row r="3" spans="1:12" ht="12" customHeight="1" x14ac:dyDescent="0.2"/>
    <row r="4" spans="1:12" ht="15" customHeight="1" x14ac:dyDescent="0.25">
      <c r="A4" s="36" t="s">
        <v>19</v>
      </c>
    </row>
    <row r="5" spans="1:12" ht="15.75" thickBot="1" x14ac:dyDescent="0.3">
      <c r="A5" s="39" t="s">
        <v>78</v>
      </c>
      <c r="D5" s="3"/>
      <c r="E5" s="40" t="s">
        <v>18</v>
      </c>
    </row>
    <row r="6" spans="1:12" ht="14.25" thickTop="1" thickBot="1" x14ac:dyDescent="0.25">
      <c r="A6" s="41" t="s">
        <v>5</v>
      </c>
      <c r="B6" s="42" t="s">
        <v>0</v>
      </c>
      <c r="C6" s="43" t="s">
        <v>1</v>
      </c>
      <c r="D6" s="44" t="s">
        <v>4</v>
      </c>
      <c r="E6" s="45" t="s">
        <v>6</v>
      </c>
    </row>
    <row r="7" spans="1:12" ht="15.75" thickTop="1" x14ac:dyDescent="0.25">
      <c r="A7" s="148" t="s">
        <v>7</v>
      </c>
      <c r="B7" s="109">
        <f>SUM(B8:B47)</f>
        <v>84810000</v>
      </c>
      <c r="C7" s="109">
        <f t="shared" ref="C7:D7" si="0">SUM(C8:C47)</f>
        <v>100075227.87</v>
      </c>
      <c r="D7" s="109">
        <f t="shared" si="0"/>
        <v>97552545.829999998</v>
      </c>
      <c r="E7" s="573">
        <f t="shared" ref="E7" si="1">D7/C7*100</f>
        <v>97.479214293394335</v>
      </c>
      <c r="H7" s="55"/>
      <c r="I7" s="127"/>
      <c r="J7" s="128"/>
      <c r="K7" s="129"/>
    </row>
    <row r="8" spans="1:12" x14ac:dyDescent="0.2">
      <c r="A8" s="467" t="s">
        <v>304</v>
      </c>
      <c r="B8" s="465">
        <v>500000</v>
      </c>
      <c r="C8" s="572">
        <v>7287.03</v>
      </c>
      <c r="D8" s="468">
        <v>0</v>
      </c>
      <c r="E8" s="466">
        <f t="shared" ref="E8:E42" si="2">D8/C8*100</f>
        <v>0</v>
      </c>
      <c r="G8" s="113" t="s">
        <v>32</v>
      </c>
      <c r="H8" s="55"/>
      <c r="I8" s="127"/>
      <c r="J8" s="128"/>
      <c r="K8" s="129"/>
    </row>
    <row r="9" spans="1:12" s="87" customFormat="1" ht="25.5" x14ac:dyDescent="0.2">
      <c r="A9" s="222" t="s">
        <v>305</v>
      </c>
      <c r="B9" s="218">
        <v>0</v>
      </c>
      <c r="C9" s="219">
        <v>1000</v>
      </c>
      <c r="D9" s="221">
        <v>1000</v>
      </c>
      <c r="E9" s="220">
        <f t="shared" si="2"/>
        <v>100</v>
      </c>
      <c r="F9" s="80">
        <v>101142</v>
      </c>
      <c r="G9" s="113" t="s">
        <v>32</v>
      </c>
      <c r="H9" s="86"/>
      <c r="I9" s="124"/>
      <c r="J9" s="125"/>
      <c r="K9" s="125"/>
      <c r="L9" s="125"/>
    </row>
    <row r="10" spans="1:12" s="87" customFormat="1" ht="25.5" x14ac:dyDescent="0.2">
      <c r="A10" s="222" t="s">
        <v>306</v>
      </c>
      <c r="B10" s="218">
        <v>0</v>
      </c>
      <c r="C10" s="219">
        <v>2000</v>
      </c>
      <c r="D10" s="221">
        <v>2000</v>
      </c>
      <c r="E10" s="220">
        <f t="shared" si="2"/>
        <v>100</v>
      </c>
      <c r="F10" s="80">
        <v>101147</v>
      </c>
      <c r="G10" s="113" t="s">
        <v>32</v>
      </c>
      <c r="H10" s="86"/>
      <c r="I10" s="124"/>
      <c r="J10" s="125"/>
      <c r="K10" s="125"/>
      <c r="L10" s="125"/>
    </row>
    <row r="11" spans="1:12" s="87" customFormat="1" x14ac:dyDescent="0.2">
      <c r="A11" s="222" t="s">
        <v>59</v>
      </c>
      <c r="B11" s="218">
        <v>411000</v>
      </c>
      <c r="C11" s="219">
        <v>381150</v>
      </c>
      <c r="D11" s="221">
        <v>381150</v>
      </c>
      <c r="E11" s="220">
        <f t="shared" si="2"/>
        <v>100</v>
      </c>
      <c r="F11" s="80">
        <v>101148</v>
      </c>
      <c r="G11" s="113" t="s">
        <v>32</v>
      </c>
      <c r="H11" s="177"/>
      <c r="I11" s="124"/>
      <c r="J11" s="125"/>
      <c r="K11" s="125"/>
      <c r="L11" s="125"/>
    </row>
    <row r="12" spans="1:12" s="87" customFormat="1" ht="25.5" x14ac:dyDescent="0.2">
      <c r="A12" s="222" t="s">
        <v>307</v>
      </c>
      <c r="B12" s="218">
        <v>0</v>
      </c>
      <c r="C12" s="219">
        <v>1000</v>
      </c>
      <c r="D12" s="221">
        <v>1000</v>
      </c>
      <c r="E12" s="220">
        <f t="shared" si="2"/>
        <v>100</v>
      </c>
      <c r="F12" s="80">
        <v>101149</v>
      </c>
      <c r="G12" s="113" t="s">
        <v>32</v>
      </c>
      <c r="H12" s="177"/>
      <c r="I12" s="124"/>
      <c r="J12" s="125"/>
      <c r="K12" s="125"/>
      <c r="L12" s="125"/>
    </row>
    <row r="13" spans="1:12" s="87" customFormat="1" ht="25.5" x14ac:dyDescent="0.2">
      <c r="A13" s="222" t="s">
        <v>60</v>
      </c>
      <c r="B13" s="218">
        <v>100000</v>
      </c>
      <c r="C13" s="219">
        <v>10000</v>
      </c>
      <c r="D13" s="221">
        <v>10000</v>
      </c>
      <c r="E13" s="220">
        <f t="shared" si="2"/>
        <v>100</v>
      </c>
      <c r="F13" s="80">
        <v>101150</v>
      </c>
      <c r="G13" s="113" t="s">
        <v>32</v>
      </c>
      <c r="H13" s="177"/>
      <c r="I13" s="124"/>
      <c r="J13" s="125"/>
      <c r="K13" s="125"/>
      <c r="L13" s="125"/>
    </row>
    <row r="14" spans="1:12" s="87" customFormat="1" ht="25.5" x14ac:dyDescent="0.2">
      <c r="A14" s="222" t="s">
        <v>250</v>
      </c>
      <c r="B14" s="218">
        <v>0</v>
      </c>
      <c r="C14" s="219">
        <v>2000</v>
      </c>
      <c r="D14" s="221">
        <v>2000</v>
      </c>
      <c r="E14" s="220">
        <f t="shared" si="2"/>
        <v>100</v>
      </c>
      <c r="F14" s="80">
        <v>101164</v>
      </c>
      <c r="G14" s="113" t="s">
        <v>32</v>
      </c>
      <c r="H14" s="177"/>
      <c r="I14" s="124"/>
      <c r="J14" s="125"/>
      <c r="K14" s="125"/>
      <c r="L14" s="125"/>
    </row>
    <row r="15" spans="1:12" s="87" customFormat="1" ht="25.5" x14ac:dyDescent="0.2">
      <c r="A15" s="222" t="s">
        <v>87</v>
      </c>
      <c r="B15" s="218">
        <v>1622000</v>
      </c>
      <c r="C15" s="219">
        <v>2159000</v>
      </c>
      <c r="D15" s="221">
        <v>1774746</v>
      </c>
      <c r="E15" s="220">
        <f t="shared" si="2"/>
        <v>82.20222325150533</v>
      </c>
      <c r="F15" s="80">
        <v>101165</v>
      </c>
      <c r="G15" s="113" t="s">
        <v>32</v>
      </c>
      <c r="H15" s="177"/>
      <c r="I15" s="124"/>
      <c r="J15" s="125"/>
      <c r="K15" s="125"/>
      <c r="L15" s="125"/>
    </row>
    <row r="16" spans="1:12" s="87" customFormat="1" x14ac:dyDescent="0.2">
      <c r="A16" s="488" t="s">
        <v>137</v>
      </c>
      <c r="B16" s="489">
        <v>0</v>
      </c>
      <c r="C16" s="541">
        <v>216226.4</v>
      </c>
      <c r="D16" s="538">
        <v>216226.4</v>
      </c>
      <c r="E16" s="220">
        <f t="shared" si="2"/>
        <v>100</v>
      </c>
      <c r="F16" s="80">
        <v>101273</v>
      </c>
      <c r="G16" s="136" t="s">
        <v>32</v>
      </c>
      <c r="H16" s="177"/>
      <c r="I16" s="124"/>
      <c r="J16" s="125"/>
      <c r="K16" s="125"/>
      <c r="L16" s="125"/>
    </row>
    <row r="17" spans="1:12" s="87" customFormat="1" x14ac:dyDescent="0.2">
      <c r="A17" s="488" t="s">
        <v>308</v>
      </c>
      <c r="B17" s="489">
        <v>6220000</v>
      </c>
      <c r="C17" s="541">
        <v>5477748.04</v>
      </c>
      <c r="D17" s="538">
        <v>5477748.04</v>
      </c>
      <c r="E17" s="220">
        <f t="shared" si="2"/>
        <v>100</v>
      </c>
      <c r="F17" s="80">
        <v>101278</v>
      </c>
      <c r="G17" s="113" t="s">
        <v>32</v>
      </c>
      <c r="H17" s="177"/>
      <c r="I17" s="124"/>
      <c r="J17" s="125"/>
      <c r="K17" s="125"/>
      <c r="L17" s="125"/>
    </row>
    <row r="18" spans="1:12" s="87" customFormat="1" ht="25.5" customHeight="1" x14ac:dyDescent="0.2">
      <c r="A18" s="525" t="s">
        <v>138</v>
      </c>
      <c r="B18" s="489">
        <v>578000</v>
      </c>
      <c r="C18" s="541">
        <v>0</v>
      </c>
      <c r="D18" s="538">
        <v>0</v>
      </c>
      <c r="E18" s="220">
        <v>0</v>
      </c>
      <c r="F18" s="80">
        <v>101279</v>
      </c>
      <c r="G18" s="136" t="s">
        <v>32</v>
      </c>
      <c r="H18" s="177"/>
      <c r="I18" s="125"/>
      <c r="J18" s="125"/>
      <c r="K18" s="125"/>
      <c r="L18" s="125"/>
    </row>
    <row r="19" spans="1:12" s="87" customFormat="1" x14ac:dyDescent="0.2">
      <c r="A19" s="488" t="s">
        <v>139</v>
      </c>
      <c r="B19" s="489">
        <v>0</v>
      </c>
      <c r="C19" s="541">
        <v>119778</v>
      </c>
      <c r="D19" s="538">
        <v>54438</v>
      </c>
      <c r="E19" s="220">
        <f t="shared" si="2"/>
        <v>45.449080799479034</v>
      </c>
      <c r="F19" s="80">
        <v>101284</v>
      </c>
      <c r="G19" s="136" t="s">
        <v>32</v>
      </c>
      <c r="H19" s="177"/>
      <c r="I19" s="124"/>
      <c r="J19" s="125"/>
      <c r="K19" s="125"/>
      <c r="L19" s="125"/>
    </row>
    <row r="20" spans="1:12" s="87" customFormat="1" ht="25.5" x14ac:dyDescent="0.2">
      <c r="A20" s="488" t="s">
        <v>140</v>
      </c>
      <c r="B20" s="489">
        <v>21300000</v>
      </c>
      <c r="C20" s="541">
        <v>20389894.219999999</v>
      </c>
      <c r="D20" s="538">
        <v>20389894.219999999</v>
      </c>
      <c r="E20" s="220">
        <f t="shared" si="2"/>
        <v>100</v>
      </c>
      <c r="F20" s="80">
        <v>101316</v>
      </c>
      <c r="G20" s="136" t="s">
        <v>32</v>
      </c>
      <c r="H20" s="177"/>
      <c r="I20" s="124"/>
      <c r="J20" s="125"/>
      <c r="K20" s="125"/>
      <c r="L20" s="125"/>
    </row>
    <row r="21" spans="1:12" s="87" customFormat="1" x14ac:dyDescent="0.2">
      <c r="A21" s="488" t="s">
        <v>141</v>
      </c>
      <c r="B21" s="489">
        <v>23876000</v>
      </c>
      <c r="C21" s="541">
        <v>21264771.390000001</v>
      </c>
      <c r="D21" s="538">
        <v>21264771.370000001</v>
      </c>
      <c r="E21" s="220">
        <f t="shared" si="2"/>
        <v>99.999999905947732</v>
      </c>
      <c r="F21" s="80">
        <v>101320</v>
      </c>
      <c r="G21" s="113" t="s">
        <v>32</v>
      </c>
      <c r="H21" s="177"/>
      <c r="I21" s="124"/>
      <c r="J21" s="125"/>
      <c r="K21" s="125"/>
      <c r="L21" s="125"/>
    </row>
    <row r="22" spans="1:12" s="87" customFormat="1" x14ac:dyDescent="0.2">
      <c r="A22" s="222" t="s">
        <v>202</v>
      </c>
      <c r="B22" s="218">
        <v>5600000</v>
      </c>
      <c r="C22" s="221">
        <v>3897448.24</v>
      </c>
      <c r="D22" s="221">
        <v>3897448.24</v>
      </c>
      <c r="E22" s="220">
        <f t="shared" si="2"/>
        <v>100</v>
      </c>
      <c r="F22" s="80">
        <v>101357</v>
      </c>
      <c r="G22" s="113" t="s">
        <v>32</v>
      </c>
      <c r="H22" s="177"/>
      <c r="I22" s="125"/>
      <c r="J22" s="125"/>
      <c r="K22" s="125"/>
      <c r="L22" s="125"/>
    </row>
    <row r="23" spans="1:12" s="87" customFormat="1" x14ac:dyDescent="0.2">
      <c r="A23" s="222" t="s">
        <v>203</v>
      </c>
      <c r="B23" s="218">
        <v>836000</v>
      </c>
      <c r="C23" s="221">
        <v>979495</v>
      </c>
      <c r="D23" s="221">
        <v>852302.5</v>
      </c>
      <c r="E23" s="220">
        <v>0</v>
      </c>
      <c r="F23" s="80">
        <v>101361</v>
      </c>
      <c r="G23" s="113" t="s">
        <v>32</v>
      </c>
      <c r="H23" s="177"/>
      <c r="I23" s="125"/>
      <c r="J23" s="125"/>
      <c r="K23" s="125"/>
      <c r="L23" s="125"/>
    </row>
    <row r="24" spans="1:12" s="87" customFormat="1" x14ac:dyDescent="0.2">
      <c r="A24" s="222" t="s">
        <v>204</v>
      </c>
      <c r="B24" s="218">
        <v>895000</v>
      </c>
      <c r="C24" s="221">
        <v>355202.7</v>
      </c>
      <c r="D24" s="221">
        <v>0</v>
      </c>
      <c r="E24" s="220">
        <f t="shared" si="2"/>
        <v>0</v>
      </c>
      <c r="F24" s="80">
        <v>101362</v>
      </c>
      <c r="G24" s="113" t="s">
        <v>32</v>
      </c>
      <c r="H24" s="177"/>
      <c r="I24" s="125"/>
      <c r="J24" s="125"/>
      <c r="K24" s="125"/>
      <c r="L24" s="125"/>
    </row>
    <row r="25" spans="1:12" s="87" customFormat="1" ht="25.5" x14ac:dyDescent="0.2">
      <c r="A25" s="222" t="s">
        <v>205</v>
      </c>
      <c r="B25" s="218">
        <v>0</v>
      </c>
      <c r="C25" s="221">
        <v>9832</v>
      </c>
      <c r="D25" s="221">
        <v>9831.25</v>
      </c>
      <c r="E25" s="220">
        <f t="shared" si="2"/>
        <v>99.9923718470301</v>
      </c>
      <c r="F25" s="80">
        <v>101363</v>
      </c>
      <c r="G25" s="113" t="s">
        <v>32</v>
      </c>
      <c r="H25" s="177"/>
      <c r="I25" s="125"/>
      <c r="J25" s="125"/>
      <c r="K25" s="125"/>
      <c r="L25" s="125"/>
    </row>
    <row r="26" spans="1:12" s="87" customFormat="1" x14ac:dyDescent="0.2">
      <c r="A26" s="222" t="s">
        <v>309</v>
      </c>
      <c r="B26" s="218">
        <v>500000</v>
      </c>
      <c r="C26" s="221">
        <v>297980</v>
      </c>
      <c r="D26" s="221">
        <v>297980</v>
      </c>
      <c r="E26" s="220">
        <f t="shared" si="2"/>
        <v>100</v>
      </c>
      <c r="F26" s="80">
        <v>101365</v>
      </c>
      <c r="G26" s="113" t="s">
        <v>32</v>
      </c>
      <c r="H26" s="177"/>
      <c r="I26" s="125"/>
      <c r="J26" s="125"/>
      <c r="K26" s="125"/>
      <c r="L26" s="125"/>
    </row>
    <row r="27" spans="1:12" s="87" customFormat="1" ht="25.5" x14ac:dyDescent="0.2">
      <c r="A27" s="222" t="s">
        <v>206</v>
      </c>
      <c r="B27" s="218">
        <v>39000</v>
      </c>
      <c r="C27" s="221">
        <v>38720</v>
      </c>
      <c r="D27" s="221">
        <v>38720</v>
      </c>
      <c r="E27" s="220">
        <f t="shared" si="2"/>
        <v>100</v>
      </c>
      <c r="F27" s="80">
        <v>101374</v>
      </c>
      <c r="G27" s="113" t="s">
        <v>32</v>
      </c>
      <c r="H27" s="177"/>
      <c r="I27" s="125"/>
      <c r="J27" s="125"/>
      <c r="K27" s="125"/>
      <c r="L27" s="125"/>
    </row>
    <row r="28" spans="1:12" s="87" customFormat="1" ht="25.5" x14ac:dyDescent="0.2">
      <c r="A28" s="222" t="s">
        <v>310</v>
      </c>
      <c r="B28" s="218">
        <v>0</v>
      </c>
      <c r="C28" s="221">
        <v>10180</v>
      </c>
      <c r="D28" s="221">
        <v>10180</v>
      </c>
      <c r="E28" s="220">
        <f t="shared" si="2"/>
        <v>100</v>
      </c>
      <c r="F28" s="80">
        <v>101375</v>
      </c>
      <c r="G28" s="113" t="s">
        <v>32</v>
      </c>
      <c r="H28" s="177"/>
      <c r="I28" s="125"/>
      <c r="J28" s="125"/>
      <c r="K28" s="125"/>
      <c r="L28" s="125"/>
    </row>
    <row r="29" spans="1:12" s="87" customFormat="1" x14ac:dyDescent="0.2">
      <c r="A29" s="222" t="s">
        <v>207</v>
      </c>
      <c r="B29" s="218">
        <v>13044000</v>
      </c>
      <c r="C29" s="221">
        <v>14435031.039999999</v>
      </c>
      <c r="D29" s="221">
        <v>14435031.039999999</v>
      </c>
      <c r="E29" s="220">
        <f t="shared" si="2"/>
        <v>100</v>
      </c>
      <c r="F29" s="80">
        <v>101377</v>
      </c>
      <c r="G29" s="113" t="s">
        <v>32</v>
      </c>
      <c r="H29" s="177"/>
      <c r="I29" s="125"/>
      <c r="J29" s="125"/>
      <c r="K29" s="125"/>
      <c r="L29" s="125"/>
    </row>
    <row r="30" spans="1:12" s="87" customFormat="1" x14ac:dyDescent="0.2">
      <c r="A30" s="222" t="s">
        <v>208</v>
      </c>
      <c r="B30" s="218">
        <v>559000</v>
      </c>
      <c r="C30" s="221">
        <v>622046</v>
      </c>
      <c r="D30" s="221">
        <v>603363</v>
      </c>
      <c r="E30" s="220">
        <f t="shared" si="2"/>
        <v>96.996524372795577</v>
      </c>
      <c r="F30" s="80">
        <v>101382</v>
      </c>
      <c r="G30" s="113" t="s">
        <v>32</v>
      </c>
      <c r="H30" s="177"/>
      <c r="I30" s="125"/>
      <c r="J30" s="125"/>
      <c r="K30" s="125"/>
      <c r="L30" s="125"/>
    </row>
    <row r="31" spans="1:12" s="87" customFormat="1" ht="25.5" x14ac:dyDescent="0.2">
      <c r="A31" s="222" t="s">
        <v>311</v>
      </c>
      <c r="B31" s="218">
        <v>462000</v>
      </c>
      <c r="C31" s="221">
        <v>471615</v>
      </c>
      <c r="D31" s="221">
        <v>471615</v>
      </c>
      <c r="E31" s="220">
        <f t="shared" si="2"/>
        <v>100</v>
      </c>
      <c r="F31" s="80">
        <v>101383</v>
      </c>
      <c r="G31" s="113" t="s">
        <v>32</v>
      </c>
      <c r="H31" s="177"/>
      <c r="I31" s="125"/>
      <c r="J31" s="125"/>
      <c r="K31" s="125"/>
      <c r="L31" s="125"/>
    </row>
    <row r="32" spans="1:12" s="87" customFormat="1" ht="25.5" x14ac:dyDescent="0.2">
      <c r="A32" s="222" t="s">
        <v>209</v>
      </c>
      <c r="B32" s="218">
        <v>0</v>
      </c>
      <c r="C32" s="221">
        <v>5396809.7699999996</v>
      </c>
      <c r="D32" s="221">
        <v>5396809.7699999996</v>
      </c>
      <c r="E32" s="220">
        <f t="shared" si="2"/>
        <v>100</v>
      </c>
      <c r="F32" s="80">
        <v>101391</v>
      </c>
      <c r="G32" s="113" t="s">
        <v>32</v>
      </c>
      <c r="H32" s="177"/>
      <c r="I32" s="125"/>
      <c r="J32" s="125"/>
      <c r="K32" s="125"/>
      <c r="L32" s="125"/>
    </row>
    <row r="33" spans="1:12" s="87" customFormat="1" ht="25.5" x14ac:dyDescent="0.2">
      <c r="A33" s="222" t="s">
        <v>210</v>
      </c>
      <c r="B33" s="218">
        <v>128000</v>
      </c>
      <c r="C33" s="221">
        <v>53845</v>
      </c>
      <c r="D33" s="221">
        <v>53845</v>
      </c>
      <c r="E33" s="220">
        <f t="shared" si="2"/>
        <v>100</v>
      </c>
      <c r="F33" s="80">
        <v>101393</v>
      </c>
      <c r="G33" s="113" t="s">
        <v>32</v>
      </c>
      <c r="H33" s="177"/>
      <c r="I33" s="125"/>
      <c r="J33" s="125"/>
      <c r="K33" s="125"/>
      <c r="L33" s="125"/>
    </row>
    <row r="34" spans="1:12" s="87" customFormat="1" x14ac:dyDescent="0.2">
      <c r="A34" s="222" t="s">
        <v>312</v>
      </c>
      <c r="B34" s="218">
        <v>0</v>
      </c>
      <c r="C34" s="221">
        <v>3541810.98</v>
      </c>
      <c r="D34" s="221">
        <v>3541810.98</v>
      </c>
      <c r="E34" s="220">
        <f t="shared" si="2"/>
        <v>100</v>
      </c>
      <c r="F34" s="80">
        <v>101394</v>
      </c>
      <c r="G34" s="113" t="s">
        <v>32</v>
      </c>
      <c r="H34" s="177"/>
      <c r="I34" s="125"/>
      <c r="J34" s="125"/>
      <c r="K34" s="125"/>
      <c r="L34" s="125"/>
    </row>
    <row r="35" spans="1:12" s="87" customFormat="1" x14ac:dyDescent="0.2">
      <c r="A35" s="222" t="s">
        <v>211</v>
      </c>
      <c r="B35" s="218">
        <v>600000</v>
      </c>
      <c r="C35" s="221">
        <v>570000</v>
      </c>
      <c r="D35" s="221">
        <v>444191</v>
      </c>
      <c r="E35" s="220">
        <f t="shared" si="2"/>
        <v>77.928245614035092</v>
      </c>
      <c r="F35" s="80">
        <v>101399</v>
      </c>
      <c r="G35" s="113" t="s">
        <v>32</v>
      </c>
      <c r="H35" s="177"/>
      <c r="I35" s="125"/>
      <c r="J35" s="125"/>
      <c r="K35" s="125"/>
      <c r="L35" s="125"/>
    </row>
    <row r="36" spans="1:12" s="87" customFormat="1" x14ac:dyDescent="0.2">
      <c r="A36" s="222" t="s">
        <v>212</v>
      </c>
      <c r="B36" s="218">
        <v>1422000</v>
      </c>
      <c r="C36" s="221">
        <v>1466000</v>
      </c>
      <c r="D36" s="221">
        <v>678212.6</v>
      </c>
      <c r="E36" s="220">
        <f t="shared" si="2"/>
        <v>46.262796725784447</v>
      </c>
      <c r="F36" s="80">
        <v>101400</v>
      </c>
      <c r="G36" s="113" t="s">
        <v>32</v>
      </c>
      <c r="H36" s="177"/>
      <c r="I36" s="125"/>
      <c r="J36" s="125"/>
      <c r="K36" s="125"/>
      <c r="L36" s="125"/>
    </row>
    <row r="37" spans="1:12" s="87" customFormat="1" ht="25.5" x14ac:dyDescent="0.2">
      <c r="A37" s="222" t="s">
        <v>251</v>
      </c>
      <c r="B37" s="218">
        <v>300000</v>
      </c>
      <c r="C37" s="221">
        <v>83840.899999999994</v>
      </c>
      <c r="D37" s="221">
        <v>83840.899999999994</v>
      </c>
      <c r="E37" s="220">
        <f t="shared" si="2"/>
        <v>100</v>
      </c>
      <c r="F37" s="80">
        <v>101464</v>
      </c>
      <c r="G37" s="113" t="s">
        <v>32</v>
      </c>
      <c r="H37" s="177"/>
      <c r="I37" s="125"/>
      <c r="J37" s="125"/>
      <c r="K37" s="125"/>
      <c r="L37" s="125"/>
    </row>
    <row r="38" spans="1:12" s="87" customFormat="1" x14ac:dyDescent="0.2">
      <c r="A38" s="222" t="s">
        <v>252</v>
      </c>
      <c r="B38" s="218">
        <v>73000</v>
      </c>
      <c r="C38" s="221">
        <v>0</v>
      </c>
      <c r="D38" s="221">
        <v>0</v>
      </c>
      <c r="E38" s="220">
        <v>0</v>
      </c>
      <c r="F38" s="80">
        <v>101466</v>
      </c>
      <c r="G38" s="113" t="s">
        <v>32</v>
      </c>
      <c r="H38" s="177"/>
      <c r="I38" s="125"/>
      <c r="J38" s="125"/>
      <c r="K38" s="125"/>
      <c r="L38" s="125"/>
    </row>
    <row r="39" spans="1:12" s="87" customFormat="1" ht="25.5" x14ac:dyDescent="0.2">
      <c r="A39" s="222" t="s">
        <v>313</v>
      </c>
      <c r="B39" s="218">
        <v>195000</v>
      </c>
      <c r="C39" s="221">
        <v>194689</v>
      </c>
      <c r="D39" s="221">
        <v>194689</v>
      </c>
      <c r="E39" s="220">
        <f t="shared" si="2"/>
        <v>100</v>
      </c>
      <c r="F39" s="80">
        <v>101467</v>
      </c>
      <c r="G39" s="113" t="s">
        <v>32</v>
      </c>
      <c r="H39" s="177"/>
      <c r="I39" s="125"/>
      <c r="J39" s="125"/>
      <c r="K39" s="125"/>
      <c r="L39" s="125"/>
    </row>
    <row r="40" spans="1:12" s="87" customFormat="1" ht="25.5" x14ac:dyDescent="0.2">
      <c r="A40" s="222" t="s">
        <v>253</v>
      </c>
      <c r="B40" s="218">
        <v>0</v>
      </c>
      <c r="C40" s="221">
        <v>477930</v>
      </c>
      <c r="D40" s="221">
        <v>477930</v>
      </c>
      <c r="E40" s="220">
        <f t="shared" si="2"/>
        <v>100</v>
      </c>
      <c r="F40" s="80">
        <v>101468</v>
      </c>
      <c r="G40" s="113" t="s">
        <v>32</v>
      </c>
      <c r="H40" s="177"/>
      <c r="I40" s="125"/>
      <c r="J40" s="125"/>
      <c r="K40" s="125"/>
      <c r="L40" s="125"/>
    </row>
    <row r="41" spans="1:12" s="87" customFormat="1" x14ac:dyDescent="0.2">
      <c r="A41" s="222" t="s">
        <v>254</v>
      </c>
      <c r="B41" s="218">
        <v>0</v>
      </c>
      <c r="C41" s="221">
        <v>5813283</v>
      </c>
      <c r="D41" s="221">
        <v>5590218.29</v>
      </c>
      <c r="E41" s="220">
        <f t="shared" si="2"/>
        <v>96.162844471875871</v>
      </c>
      <c r="F41" s="80">
        <v>101469</v>
      </c>
      <c r="G41" s="113" t="s">
        <v>32</v>
      </c>
      <c r="H41" s="177"/>
      <c r="I41" s="125"/>
      <c r="J41" s="125"/>
      <c r="K41" s="125"/>
      <c r="L41" s="125"/>
    </row>
    <row r="42" spans="1:12" s="87" customFormat="1" x14ac:dyDescent="0.2">
      <c r="A42" s="222" t="s">
        <v>255</v>
      </c>
      <c r="B42" s="218">
        <v>5050000</v>
      </c>
      <c r="C42" s="221">
        <v>4114212.69</v>
      </c>
      <c r="D42" s="221">
        <v>4114212.69</v>
      </c>
      <c r="E42" s="220">
        <f t="shared" si="2"/>
        <v>100</v>
      </c>
      <c r="F42" s="80">
        <v>101470</v>
      </c>
      <c r="G42" s="113" t="s">
        <v>32</v>
      </c>
      <c r="H42" s="177"/>
      <c r="I42" s="125"/>
      <c r="J42" s="125"/>
      <c r="K42" s="125"/>
      <c r="L42" s="125"/>
    </row>
    <row r="43" spans="1:12" s="87" customFormat="1" x14ac:dyDescent="0.2">
      <c r="A43" s="222" t="s">
        <v>256</v>
      </c>
      <c r="B43" s="218">
        <v>500000</v>
      </c>
      <c r="C43" s="221">
        <v>0</v>
      </c>
      <c r="D43" s="221">
        <v>0</v>
      </c>
      <c r="E43" s="220">
        <v>0</v>
      </c>
      <c r="F43" s="80">
        <v>101474</v>
      </c>
      <c r="G43" s="113" t="s">
        <v>32</v>
      </c>
      <c r="H43" s="177"/>
      <c r="I43" s="125"/>
      <c r="J43" s="125"/>
      <c r="K43" s="125"/>
      <c r="L43" s="125"/>
    </row>
    <row r="44" spans="1:12" s="87" customFormat="1" ht="25.5" x14ac:dyDescent="0.2">
      <c r="A44" s="222" t="s">
        <v>314</v>
      </c>
      <c r="B44" s="218">
        <v>0</v>
      </c>
      <c r="C44" s="221">
        <v>2459242.88</v>
      </c>
      <c r="D44" s="221">
        <v>2459242.88</v>
      </c>
      <c r="E44" s="220">
        <f t="shared" ref="E44:E47" si="3">D44/C44*100</f>
        <v>100</v>
      </c>
      <c r="F44" s="80">
        <v>101499</v>
      </c>
      <c r="G44" s="113" t="s">
        <v>32</v>
      </c>
      <c r="H44" s="177"/>
      <c r="I44" s="125"/>
      <c r="J44" s="125"/>
      <c r="K44" s="125"/>
      <c r="L44" s="125"/>
    </row>
    <row r="45" spans="1:12" s="87" customFormat="1" x14ac:dyDescent="0.2">
      <c r="A45" s="222" t="s">
        <v>315</v>
      </c>
      <c r="B45" s="218">
        <v>0</v>
      </c>
      <c r="C45" s="221">
        <v>117870</v>
      </c>
      <c r="D45" s="221">
        <v>59790</v>
      </c>
      <c r="E45" s="220">
        <f t="shared" si="3"/>
        <v>50.725375413591244</v>
      </c>
      <c r="F45" s="80">
        <v>101500</v>
      </c>
      <c r="G45" s="113" t="s">
        <v>32</v>
      </c>
      <c r="H45" s="177"/>
      <c r="I45" s="125"/>
      <c r="J45" s="125"/>
      <c r="K45" s="125"/>
      <c r="L45" s="125"/>
    </row>
    <row r="46" spans="1:12" s="87" customFormat="1" x14ac:dyDescent="0.2">
      <c r="A46" s="222" t="s">
        <v>316</v>
      </c>
      <c r="B46" s="218">
        <v>0</v>
      </c>
      <c r="C46" s="221">
        <v>2525288.59</v>
      </c>
      <c r="D46" s="221">
        <v>2218016.0299999998</v>
      </c>
      <c r="E46" s="220">
        <f t="shared" si="3"/>
        <v>87.832180400419105</v>
      </c>
      <c r="F46" s="80">
        <v>101511</v>
      </c>
      <c r="G46" s="113" t="s">
        <v>32</v>
      </c>
      <c r="H46" s="177"/>
      <c r="I46" s="125"/>
      <c r="J46" s="125"/>
      <c r="K46" s="125"/>
      <c r="L46" s="125"/>
    </row>
    <row r="47" spans="1:12" s="87" customFormat="1" ht="13.5" thickBot="1" x14ac:dyDescent="0.25">
      <c r="A47" s="223" t="s">
        <v>317</v>
      </c>
      <c r="B47" s="407">
        <v>0</v>
      </c>
      <c r="C47" s="224">
        <v>2111000</v>
      </c>
      <c r="D47" s="224">
        <v>2048291.63</v>
      </c>
      <c r="E47" s="225">
        <f t="shared" si="3"/>
        <v>97.029447181430598</v>
      </c>
      <c r="F47" s="80">
        <v>101512</v>
      </c>
      <c r="G47" s="113" t="s">
        <v>32</v>
      </c>
      <c r="H47" s="177"/>
      <c r="I47" s="125"/>
      <c r="J47" s="125"/>
      <c r="K47" s="125"/>
      <c r="L47" s="125"/>
    </row>
    <row r="48" spans="1:12" ht="16.5" thickTop="1" thickBot="1" x14ac:dyDescent="0.25">
      <c r="A48" s="174" t="s">
        <v>29</v>
      </c>
      <c r="B48" s="445"/>
      <c r="C48" s="9"/>
      <c r="D48" s="10"/>
      <c r="E48" s="175" t="s">
        <v>18</v>
      </c>
    </row>
    <row r="49" spans="1:7" ht="14.25" thickTop="1" thickBot="1" x14ac:dyDescent="0.25">
      <c r="A49" s="41" t="s">
        <v>5</v>
      </c>
      <c r="B49" s="42" t="s">
        <v>0</v>
      </c>
      <c r="C49" s="43" t="s">
        <v>1</v>
      </c>
      <c r="D49" s="44" t="s">
        <v>4</v>
      </c>
      <c r="E49" s="45" t="s">
        <v>6</v>
      </c>
    </row>
    <row r="50" spans="1:7" ht="15.75" thickTop="1" x14ac:dyDescent="0.2">
      <c r="A50" s="46" t="s">
        <v>7</v>
      </c>
      <c r="B50" s="47">
        <f>SUM(B51:B78)</f>
        <v>0</v>
      </c>
      <c r="C50" s="47">
        <f>SUM(C51:C78)</f>
        <v>10539471.670000002</v>
      </c>
      <c r="D50" s="47">
        <f>SUM(D51:D78)</f>
        <v>10539471.670000002</v>
      </c>
      <c r="E50" s="57">
        <f>D50/C50*100</f>
        <v>100</v>
      </c>
      <c r="F50" s="37"/>
    </row>
    <row r="51" spans="1:7" x14ac:dyDescent="0.2">
      <c r="A51" s="222" t="s">
        <v>360</v>
      </c>
      <c r="B51" s="218">
        <v>0</v>
      </c>
      <c r="C51" s="218">
        <v>132000</v>
      </c>
      <c r="D51" s="218">
        <v>132000</v>
      </c>
      <c r="E51" s="220">
        <f t="shared" ref="E51:E78" si="4">D51/C51*100</f>
        <v>100</v>
      </c>
      <c r="F51" s="92">
        <v>1043</v>
      </c>
      <c r="G51" s="118" t="s">
        <v>287</v>
      </c>
    </row>
    <row r="52" spans="1:7" x14ac:dyDescent="0.2">
      <c r="A52" s="222" t="s">
        <v>361</v>
      </c>
      <c r="B52" s="218">
        <v>0</v>
      </c>
      <c r="C52" s="218">
        <v>111325</v>
      </c>
      <c r="D52" s="218">
        <v>111325</v>
      </c>
      <c r="E52" s="220">
        <f t="shared" si="4"/>
        <v>100</v>
      </c>
      <c r="F52" s="92">
        <v>1101</v>
      </c>
      <c r="G52" s="118" t="s">
        <v>287</v>
      </c>
    </row>
    <row r="53" spans="1:7" x14ac:dyDescent="0.2">
      <c r="A53" s="222" t="s">
        <v>230</v>
      </c>
      <c r="B53" s="218">
        <v>0</v>
      </c>
      <c r="C53" s="218">
        <v>126000</v>
      </c>
      <c r="D53" s="218">
        <v>126000</v>
      </c>
      <c r="E53" s="220">
        <f t="shared" si="4"/>
        <v>100</v>
      </c>
      <c r="F53" s="92">
        <v>1102</v>
      </c>
      <c r="G53" s="118" t="s">
        <v>287</v>
      </c>
    </row>
    <row r="54" spans="1:7" x14ac:dyDescent="0.2">
      <c r="A54" s="222" t="s">
        <v>149</v>
      </c>
      <c r="B54" s="218">
        <v>0</v>
      </c>
      <c r="C54" s="218">
        <v>599877.94999999995</v>
      </c>
      <c r="D54" s="218">
        <v>599877.94999999995</v>
      </c>
      <c r="E54" s="220">
        <f t="shared" si="4"/>
        <v>100</v>
      </c>
      <c r="F54" s="92">
        <v>1104</v>
      </c>
      <c r="G54" s="118" t="s">
        <v>287</v>
      </c>
    </row>
    <row r="55" spans="1:7" x14ac:dyDescent="0.2">
      <c r="A55" s="222" t="s">
        <v>231</v>
      </c>
      <c r="B55" s="218">
        <v>0</v>
      </c>
      <c r="C55" s="218">
        <f>795335.94+179979</f>
        <v>975314.94</v>
      </c>
      <c r="D55" s="218">
        <f>795335.94+179979</f>
        <v>975314.94</v>
      </c>
      <c r="E55" s="220">
        <f t="shared" si="4"/>
        <v>100</v>
      </c>
      <c r="F55" s="92">
        <v>1106</v>
      </c>
      <c r="G55" s="118" t="s">
        <v>287</v>
      </c>
    </row>
    <row r="56" spans="1:7" x14ac:dyDescent="0.2">
      <c r="A56" s="222" t="s">
        <v>362</v>
      </c>
      <c r="B56" s="218">
        <v>0</v>
      </c>
      <c r="C56" s="218">
        <f>235588.69+318000</f>
        <v>553588.68999999994</v>
      </c>
      <c r="D56" s="218">
        <f>235588.69+318000</f>
        <v>553588.68999999994</v>
      </c>
      <c r="E56" s="220">
        <f t="shared" si="4"/>
        <v>100</v>
      </c>
      <c r="F56" s="92">
        <v>1128</v>
      </c>
      <c r="G56" s="118" t="s">
        <v>287</v>
      </c>
    </row>
    <row r="57" spans="1:7" x14ac:dyDescent="0.2">
      <c r="A57" s="222" t="s">
        <v>150</v>
      </c>
      <c r="B57" s="218">
        <v>0</v>
      </c>
      <c r="C57" s="218">
        <v>450000</v>
      </c>
      <c r="D57" s="218">
        <v>450000</v>
      </c>
      <c r="E57" s="220">
        <f t="shared" si="4"/>
        <v>100</v>
      </c>
      <c r="F57" s="92">
        <v>1134</v>
      </c>
      <c r="G57" s="118" t="s">
        <v>287</v>
      </c>
    </row>
    <row r="58" spans="1:7" x14ac:dyDescent="0.2">
      <c r="A58" s="222" t="s">
        <v>363</v>
      </c>
      <c r="B58" s="218">
        <v>0</v>
      </c>
      <c r="C58" s="218">
        <v>150000</v>
      </c>
      <c r="D58" s="218">
        <v>150000</v>
      </c>
      <c r="E58" s="220">
        <f t="shared" si="4"/>
        <v>100</v>
      </c>
      <c r="F58" s="92">
        <v>1135</v>
      </c>
      <c r="G58" s="118" t="s">
        <v>287</v>
      </c>
    </row>
    <row r="59" spans="1:7" x14ac:dyDescent="0.2">
      <c r="A59" s="222" t="s">
        <v>152</v>
      </c>
      <c r="B59" s="218">
        <v>0</v>
      </c>
      <c r="C59" s="218">
        <v>829000</v>
      </c>
      <c r="D59" s="218">
        <v>829000</v>
      </c>
      <c r="E59" s="220">
        <f t="shared" si="4"/>
        <v>100</v>
      </c>
      <c r="F59" s="92">
        <v>1138</v>
      </c>
      <c r="G59" s="118" t="s">
        <v>287</v>
      </c>
    </row>
    <row r="60" spans="1:7" ht="25.5" x14ac:dyDescent="0.2">
      <c r="A60" s="222" t="s">
        <v>153</v>
      </c>
      <c r="B60" s="218">
        <v>0</v>
      </c>
      <c r="C60" s="218">
        <v>150000</v>
      </c>
      <c r="D60" s="218">
        <v>150000</v>
      </c>
      <c r="E60" s="220">
        <f t="shared" si="4"/>
        <v>100</v>
      </c>
      <c r="F60" s="92">
        <v>1160</v>
      </c>
      <c r="G60" s="118" t="s">
        <v>287</v>
      </c>
    </row>
    <row r="61" spans="1:7" ht="25.5" x14ac:dyDescent="0.2">
      <c r="A61" s="222" t="s">
        <v>358</v>
      </c>
      <c r="B61" s="218">
        <v>0</v>
      </c>
      <c r="C61" s="218">
        <v>399496</v>
      </c>
      <c r="D61" s="218">
        <v>399496</v>
      </c>
      <c r="E61" s="220">
        <f t="shared" si="4"/>
        <v>100</v>
      </c>
      <c r="F61" s="92">
        <v>1175</v>
      </c>
      <c r="G61" s="118" t="s">
        <v>287</v>
      </c>
    </row>
    <row r="62" spans="1:7" x14ac:dyDescent="0.2">
      <c r="A62" s="222" t="s">
        <v>234</v>
      </c>
      <c r="B62" s="218">
        <v>0</v>
      </c>
      <c r="C62" s="218">
        <v>390000</v>
      </c>
      <c r="D62" s="218">
        <v>390000</v>
      </c>
      <c r="E62" s="220">
        <f t="shared" si="4"/>
        <v>100</v>
      </c>
      <c r="F62" s="92">
        <v>1200</v>
      </c>
      <c r="G62" s="118" t="s">
        <v>287</v>
      </c>
    </row>
    <row r="63" spans="1:7" x14ac:dyDescent="0.2">
      <c r="A63" s="222" t="s">
        <v>364</v>
      </c>
      <c r="B63" s="218">
        <v>0</v>
      </c>
      <c r="C63" s="218">
        <v>83355.899999999994</v>
      </c>
      <c r="D63" s="218">
        <v>83355.899999999994</v>
      </c>
      <c r="E63" s="220">
        <f t="shared" si="4"/>
        <v>100</v>
      </c>
      <c r="F63" s="92">
        <v>1202</v>
      </c>
      <c r="G63" s="118" t="s">
        <v>287</v>
      </c>
    </row>
    <row r="64" spans="1:7" x14ac:dyDescent="0.2">
      <c r="A64" s="222" t="s">
        <v>365</v>
      </c>
      <c r="B64" s="218">
        <v>0</v>
      </c>
      <c r="C64" s="218">
        <v>222332</v>
      </c>
      <c r="D64" s="218">
        <v>222332</v>
      </c>
      <c r="E64" s="220">
        <f t="shared" si="4"/>
        <v>100</v>
      </c>
      <c r="F64" s="92">
        <v>1350</v>
      </c>
      <c r="G64" s="118" t="s">
        <v>287</v>
      </c>
    </row>
    <row r="65" spans="1:8" x14ac:dyDescent="0.2">
      <c r="A65" s="222" t="s">
        <v>275</v>
      </c>
      <c r="B65" s="218">
        <v>0</v>
      </c>
      <c r="C65" s="218">
        <v>99000</v>
      </c>
      <c r="D65" s="218">
        <v>99000</v>
      </c>
      <c r="E65" s="220">
        <f t="shared" si="4"/>
        <v>100</v>
      </c>
      <c r="F65" s="92">
        <v>1404</v>
      </c>
      <c r="G65" s="118" t="s">
        <v>287</v>
      </c>
    </row>
    <row r="66" spans="1:8" x14ac:dyDescent="0.2">
      <c r="A66" s="467" t="s">
        <v>233</v>
      </c>
      <c r="B66" s="218">
        <v>0</v>
      </c>
      <c r="C66" s="218">
        <v>509234.98</v>
      </c>
      <c r="D66" s="218">
        <v>509234.98</v>
      </c>
      <c r="E66" s="220">
        <f t="shared" si="4"/>
        <v>100</v>
      </c>
      <c r="F66" s="92">
        <v>1038</v>
      </c>
      <c r="G66" s="118" t="s">
        <v>288</v>
      </c>
    </row>
    <row r="67" spans="1:8" x14ac:dyDescent="0.2">
      <c r="A67" s="222" t="s">
        <v>231</v>
      </c>
      <c r="B67" s="218">
        <v>0</v>
      </c>
      <c r="C67" s="218">
        <v>390000</v>
      </c>
      <c r="D67" s="218">
        <v>390000</v>
      </c>
      <c r="E67" s="220">
        <f t="shared" si="4"/>
        <v>100</v>
      </c>
      <c r="F67" s="92">
        <v>1106</v>
      </c>
      <c r="G67" s="118" t="s">
        <v>288</v>
      </c>
    </row>
    <row r="68" spans="1:8" x14ac:dyDescent="0.2">
      <c r="A68" s="222" t="s">
        <v>366</v>
      </c>
      <c r="B68" s="218">
        <v>0</v>
      </c>
      <c r="C68" s="218">
        <v>200000</v>
      </c>
      <c r="D68" s="218">
        <v>200000</v>
      </c>
      <c r="E68" s="220">
        <f t="shared" si="4"/>
        <v>100</v>
      </c>
      <c r="F68" s="92">
        <v>1111</v>
      </c>
      <c r="G68" s="118" t="s">
        <v>288</v>
      </c>
    </row>
    <row r="69" spans="1:8" x14ac:dyDescent="0.2">
      <c r="A69" s="222" t="s">
        <v>191</v>
      </c>
      <c r="B69" s="218">
        <v>0</v>
      </c>
      <c r="C69" s="218">
        <v>172708.65</v>
      </c>
      <c r="D69" s="218">
        <v>172708.65</v>
      </c>
      <c r="E69" s="220">
        <f t="shared" si="4"/>
        <v>100</v>
      </c>
      <c r="F69" s="92">
        <v>1123</v>
      </c>
      <c r="G69" s="118" t="s">
        <v>288</v>
      </c>
    </row>
    <row r="70" spans="1:8" x14ac:dyDescent="0.2">
      <c r="A70" s="222" t="s">
        <v>152</v>
      </c>
      <c r="B70" s="218">
        <v>0</v>
      </c>
      <c r="C70" s="218">
        <v>81865</v>
      </c>
      <c r="D70" s="218">
        <v>81865</v>
      </c>
      <c r="E70" s="220">
        <f t="shared" si="4"/>
        <v>100</v>
      </c>
      <c r="F70" s="92">
        <v>1138</v>
      </c>
      <c r="G70" s="118" t="s">
        <v>288</v>
      </c>
    </row>
    <row r="71" spans="1:8" x14ac:dyDescent="0.2">
      <c r="A71" s="222" t="s">
        <v>232</v>
      </c>
      <c r="B71" s="218">
        <v>0</v>
      </c>
      <c r="C71" s="218">
        <v>586472</v>
      </c>
      <c r="D71" s="218">
        <v>586472</v>
      </c>
      <c r="E71" s="220">
        <f t="shared" si="4"/>
        <v>100</v>
      </c>
      <c r="F71" s="92">
        <v>1150</v>
      </c>
      <c r="G71" s="118" t="s">
        <v>288</v>
      </c>
    </row>
    <row r="72" spans="1:8" ht="25.5" x14ac:dyDescent="0.2">
      <c r="A72" s="222" t="s">
        <v>153</v>
      </c>
      <c r="B72" s="218">
        <v>0</v>
      </c>
      <c r="C72" s="218">
        <v>551649.65</v>
      </c>
      <c r="D72" s="218">
        <v>551649.65</v>
      </c>
      <c r="E72" s="220">
        <f t="shared" si="4"/>
        <v>100</v>
      </c>
      <c r="F72" s="92">
        <v>1160</v>
      </c>
      <c r="G72" s="118" t="s">
        <v>288</v>
      </c>
    </row>
    <row r="73" spans="1:8" x14ac:dyDescent="0.2">
      <c r="A73" s="222" t="s">
        <v>367</v>
      </c>
      <c r="B73" s="218">
        <v>0</v>
      </c>
      <c r="C73" s="218">
        <v>114000</v>
      </c>
      <c r="D73" s="218">
        <v>114000</v>
      </c>
      <c r="E73" s="220">
        <f t="shared" si="4"/>
        <v>100</v>
      </c>
      <c r="F73" s="92">
        <v>1173</v>
      </c>
      <c r="G73" s="118" t="s">
        <v>288</v>
      </c>
    </row>
    <row r="74" spans="1:8" x14ac:dyDescent="0.2">
      <c r="A74" s="488" t="s">
        <v>234</v>
      </c>
      <c r="B74" s="489">
        <v>0</v>
      </c>
      <c r="C74" s="489">
        <v>87825.91</v>
      </c>
      <c r="D74" s="489">
        <v>87825.91</v>
      </c>
      <c r="E74" s="490">
        <f t="shared" si="4"/>
        <v>100</v>
      </c>
      <c r="F74" s="92">
        <v>1200</v>
      </c>
      <c r="G74" s="118" t="s">
        <v>288</v>
      </c>
    </row>
    <row r="75" spans="1:8" x14ac:dyDescent="0.2">
      <c r="A75" s="222" t="s">
        <v>154</v>
      </c>
      <c r="B75" s="218">
        <v>0</v>
      </c>
      <c r="C75" s="218">
        <v>500000</v>
      </c>
      <c r="D75" s="218">
        <v>500000</v>
      </c>
      <c r="E75" s="220">
        <f t="shared" si="4"/>
        <v>100</v>
      </c>
      <c r="F75" s="92">
        <v>1208</v>
      </c>
      <c r="G75" s="118" t="s">
        <v>288</v>
      </c>
    </row>
    <row r="76" spans="1:8" x14ac:dyDescent="0.2">
      <c r="A76" s="222" t="s">
        <v>151</v>
      </c>
      <c r="B76" s="218">
        <v>0</v>
      </c>
      <c r="C76" s="218">
        <f>750000+400000</f>
        <v>1150000</v>
      </c>
      <c r="D76" s="218">
        <f>750000+400000</f>
        <v>1150000</v>
      </c>
      <c r="E76" s="220">
        <f t="shared" si="4"/>
        <v>100</v>
      </c>
      <c r="F76" s="92">
        <v>1223</v>
      </c>
      <c r="G76" s="118" t="s">
        <v>288</v>
      </c>
    </row>
    <row r="77" spans="1:8" x14ac:dyDescent="0.2">
      <c r="A77" s="222" t="s">
        <v>155</v>
      </c>
      <c r="B77" s="218">
        <v>0</v>
      </c>
      <c r="C77" s="218">
        <v>120000</v>
      </c>
      <c r="D77" s="218">
        <v>120000</v>
      </c>
      <c r="E77" s="220">
        <f t="shared" si="4"/>
        <v>100</v>
      </c>
      <c r="F77" s="92">
        <v>1226</v>
      </c>
      <c r="G77" s="118" t="s">
        <v>288</v>
      </c>
    </row>
    <row r="78" spans="1:8" ht="13.5" thickBot="1" x14ac:dyDescent="0.25">
      <c r="A78" s="223" t="s">
        <v>235</v>
      </c>
      <c r="B78" s="407">
        <v>0</v>
      </c>
      <c r="C78" s="407">
        <v>804425</v>
      </c>
      <c r="D78" s="407">
        <v>804425</v>
      </c>
      <c r="E78" s="225">
        <f t="shared" si="4"/>
        <v>100</v>
      </c>
      <c r="F78" s="92">
        <v>1400</v>
      </c>
      <c r="G78" s="118" t="s">
        <v>288</v>
      </c>
    </row>
    <row r="79" spans="1:8" s="59" customFormat="1" ht="13.5" thickTop="1" x14ac:dyDescent="0.2">
      <c r="A79" s="150"/>
      <c r="B79" s="111"/>
      <c r="C79" s="111"/>
      <c r="D79" s="111"/>
      <c r="E79" s="51"/>
      <c r="F79" s="82"/>
      <c r="G79" s="118"/>
      <c r="H79" s="58"/>
    </row>
    <row r="80" spans="1:8" ht="15" customHeight="1" thickBot="1" x14ac:dyDescent="0.3">
      <c r="A80" s="39" t="s">
        <v>114</v>
      </c>
      <c r="B80" s="32"/>
      <c r="E80" s="40" t="s">
        <v>18</v>
      </c>
      <c r="F80" s="5"/>
      <c r="G80" s="95"/>
    </row>
    <row r="81" spans="1:12" ht="14.25" thickTop="1" thickBot="1" x14ac:dyDescent="0.25">
      <c r="A81" s="41" t="s">
        <v>5</v>
      </c>
      <c r="B81" s="42" t="s">
        <v>0</v>
      </c>
      <c r="C81" s="43" t="s">
        <v>1</v>
      </c>
      <c r="D81" s="44" t="s">
        <v>4</v>
      </c>
      <c r="E81" s="45" t="s">
        <v>6</v>
      </c>
      <c r="F81" s="5"/>
      <c r="G81" s="95"/>
    </row>
    <row r="82" spans="1:12" s="79" customFormat="1" ht="15.75" thickTop="1" x14ac:dyDescent="0.2">
      <c r="A82" s="46" t="s">
        <v>7</v>
      </c>
      <c r="B82" s="47">
        <f>SUM(B83:B83)</f>
        <v>0</v>
      </c>
      <c r="C82" s="47">
        <f>SUM(C83:C83)</f>
        <v>1306200</v>
      </c>
      <c r="D82" s="47">
        <f>SUM(D83:D83)</f>
        <v>1302580</v>
      </c>
      <c r="E82" s="77">
        <f>D82/C82*100</f>
        <v>99.722860205175323</v>
      </c>
      <c r="F82" s="78" t="s">
        <v>2</v>
      </c>
      <c r="G82" s="140" t="s">
        <v>34</v>
      </c>
    </row>
    <row r="83" spans="1:12" s="79" customFormat="1" ht="13.5" thickBot="1" x14ac:dyDescent="0.25">
      <c r="A83" s="170" t="s">
        <v>284</v>
      </c>
      <c r="B83" s="130">
        <v>0</v>
      </c>
      <c r="C83" s="132">
        <v>1306200</v>
      </c>
      <c r="D83" s="130">
        <v>1302580</v>
      </c>
      <c r="E83" s="131">
        <f t="shared" ref="E83" si="5">D83/C83*100</f>
        <v>99.722860205175323</v>
      </c>
      <c r="F83" s="117"/>
      <c r="G83" s="96"/>
      <c r="I83" s="124" t="s">
        <v>34</v>
      </c>
      <c r="J83" s="125">
        <f>B82</f>
        <v>0</v>
      </c>
      <c r="K83" s="125">
        <f>C82</f>
        <v>1306200</v>
      </c>
      <c r="L83" s="125">
        <f>D82</f>
        <v>1302580</v>
      </c>
    </row>
    <row r="84" spans="1:12" s="79" customFormat="1" ht="13.5" thickTop="1" x14ac:dyDescent="0.2">
      <c r="A84" s="110"/>
      <c r="B84" s="111"/>
      <c r="C84" s="50"/>
      <c r="D84" s="111"/>
      <c r="E84" s="51"/>
      <c r="F84" s="112"/>
      <c r="G84" s="96"/>
      <c r="I84" s="113" t="s">
        <v>32</v>
      </c>
      <c r="J84" s="122">
        <f>SUM(B8:B47)</f>
        <v>84810000</v>
      </c>
      <c r="K84" s="122">
        <f t="shared" ref="K84:L84" si="6">SUM(C8:C47)</f>
        <v>100075227.87</v>
      </c>
      <c r="L84" s="122">
        <f t="shared" si="6"/>
        <v>97552545.829999998</v>
      </c>
    </row>
    <row r="85" spans="1:12" s="79" customFormat="1" x14ac:dyDescent="0.2">
      <c r="A85" s="110"/>
      <c r="B85" s="111"/>
      <c r="C85" s="50"/>
      <c r="D85" s="111"/>
      <c r="E85" s="51"/>
      <c r="F85" s="112"/>
      <c r="G85" s="96"/>
      <c r="H85" s="118"/>
      <c r="I85" s="181" t="s">
        <v>33</v>
      </c>
      <c r="J85" s="182">
        <f>SUM(B51:B78)</f>
        <v>0</v>
      </c>
      <c r="K85" s="182">
        <f>SUM(C51:C78)</f>
        <v>10539471.670000002</v>
      </c>
      <c r="L85" s="182">
        <f>SUM(D51:D78)</f>
        <v>10539471.670000002</v>
      </c>
    </row>
    <row r="86" spans="1:12" s="6" customFormat="1" ht="18.75" thickBot="1" x14ac:dyDescent="0.3">
      <c r="A86" s="61" t="s">
        <v>20</v>
      </c>
      <c r="B86" s="446">
        <f>SUM(B50,B7,B82)</f>
        <v>84810000</v>
      </c>
      <c r="C86" s="446">
        <f>SUM(C50,C7,C82)</f>
        <v>111920899.54000001</v>
      </c>
      <c r="D86" s="446">
        <f>SUM(D50,D7,D82)</f>
        <v>109394597.5</v>
      </c>
      <c r="E86" s="63">
        <f>D86/C86*100</f>
        <v>97.742779006974374</v>
      </c>
      <c r="F86" s="104"/>
      <c r="G86" s="64"/>
      <c r="H86" s="64"/>
      <c r="I86" s="79"/>
      <c r="J86" s="121">
        <f>J85+J84+J83</f>
        <v>84810000</v>
      </c>
      <c r="K86" s="121">
        <f t="shared" ref="K86:L86" si="7">K85+K84+K83</f>
        <v>111920899.54000001</v>
      </c>
      <c r="L86" s="121">
        <f t="shared" si="7"/>
        <v>109394597.5</v>
      </c>
    </row>
    <row r="87" spans="1:12" ht="13.5" thickTop="1" x14ac:dyDescent="0.2">
      <c r="A87" s="60"/>
      <c r="B87" s="111"/>
      <c r="C87" s="54"/>
      <c r="D87" s="49"/>
      <c r="E87" s="51"/>
      <c r="F87" s="37"/>
    </row>
    <row r="88" spans="1:12" x14ac:dyDescent="0.2">
      <c r="A88" s="60"/>
      <c r="B88" s="111"/>
      <c r="C88" s="54"/>
      <c r="D88" s="49"/>
      <c r="E88" s="51"/>
      <c r="F88" s="37"/>
    </row>
    <row r="89" spans="1:12" ht="18" x14ac:dyDescent="0.25">
      <c r="A89" s="36" t="s">
        <v>28</v>
      </c>
      <c r="B89" s="32"/>
    </row>
    <row r="90" spans="1:12" ht="15" customHeight="1" thickBot="1" x14ac:dyDescent="0.3">
      <c r="A90" s="39" t="s">
        <v>78</v>
      </c>
      <c r="B90" s="32"/>
      <c r="E90" s="40" t="s">
        <v>18</v>
      </c>
    </row>
    <row r="91" spans="1:12" ht="14.25" thickTop="1" thickBot="1" x14ac:dyDescent="0.25">
      <c r="A91" s="41" t="s">
        <v>5</v>
      </c>
      <c r="B91" s="42" t="s">
        <v>0</v>
      </c>
      <c r="C91" s="43" t="s">
        <v>1</v>
      </c>
      <c r="D91" s="44" t="s">
        <v>4</v>
      </c>
      <c r="E91" s="45" t="s">
        <v>6</v>
      </c>
    </row>
    <row r="92" spans="1:12" ht="15.75" thickTop="1" x14ac:dyDescent="0.25">
      <c r="A92" s="46" t="s">
        <v>9</v>
      </c>
      <c r="B92" s="47">
        <f>SUM(B93:B114)</f>
        <v>74390000</v>
      </c>
      <c r="C92" s="47">
        <f t="shared" ref="C92:D92" si="8">SUM(C93:C114)</f>
        <v>93017623.599999994</v>
      </c>
      <c r="D92" s="47">
        <f t="shared" si="8"/>
        <v>82268716.099999979</v>
      </c>
      <c r="E92" s="48">
        <f>D92/C92*100</f>
        <v>88.444224778066655</v>
      </c>
      <c r="F92" s="83"/>
    </row>
    <row r="93" spans="1:12" x14ac:dyDescent="0.2">
      <c r="A93" s="227" t="s">
        <v>377</v>
      </c>
      <c r="B93" s="226">
        <v>0</v>
      </c>
      <c r="C93" s="219">
        <v>151290.41</v>
      </c>
      <c r="D93" s="221">
        <v>135255</v>
      </c>
      <c r="E93" s="220">
        <f t="shared" ref="E93:E114" si="9">D93/C93*100</f>
        <v>89.400907830179051</v>
      </c>
      <c r="F93" s="114">
        <v>8348</v>
      </c>
      <c r="G93" s="113" t="s">
        <v>32</v>
      </c>
    </row>
    <row r="94" spans="1:12" ht="25.5" x14ac:dyDescent="0.2">
      <c r="A94" s="227" t="s">
        <v>322</v>
      </c>
      <c r="B94" s="226">
        <v>0</v>
      </c>
      <c r="C94" s="219">
        <v>118370</v>
      </c>
      <c r="D94" s="221">
        <v>118370</v>
      </c>
      <c r="E94" s="220">
        <f t="shared" si="9"/>
        <v>100</v>
      </c>
      <c r="F94" s="114" t="s">
        <v>282</v>
      </c>
      <c r="G94" s="113" t="s">
        <v>32</v>
      </c>
    </row>
    <row r="95" spans="1:12" s="35" customFormat="1" x14ac:dyDescent="0.2">
      <c r="A95" s="227" t="s">
        <v>61</v>
      </c>
      <c r="B95" s="226">
        <v>45800000</v>
      </c>
      <c r="C95" s="219">
        <v>41895653.399999999</v>
      </c>
      <c r="D95" s="221">
        <v>34646503.490000002</v>
      </c>
      <c r="E95" s="220">
        <f t="shared" si="9"/>
        <v>82.697131273288619</v>
      </c>
      <c r="F95" s="114" t="s">
        <v>58</v>
      </c>
      <c r="G95" s="113" t="s">
        <v>32</v>
      </c>
      <c r="H95" s="30"/>
    </row>
    <row r="96" spans="1:12" s="35" customFormat="1" ht="25.5" x14ac:dyDescent="0.2">
      <c r="A96" s="227" t="s">
        <v>213</v>
      </c>
      <c r="B96" s="226">
        <v>0</v>
      </c>
      <c r="C96" s="219">
        <v>2026000</v>
      </c>
      <c r="D96" s="221">
        <v>1967002</v>
      </c>
      <c r="E96" s="220">
        <f t="shared" si="9"/>
        <v>97.087956564659422</v>
      </c>
      <c r="F96" s="114" t="s">
        <v>193</v>
      </c>
      <c r="G96" s="113" t="s">
        <v>32</v>
      </c>
      <c r="H96" s="30"/>
    </row>
    <row r="97" spans="1:8" s="35" customFormat="1" x14ac:dyDescent="0.2">
      <c r="A97" s="227" t="s">
        <v>81</v>
      </c>
      <c r="B97" s="226">
        <v>0</v>
      </c>
      <c r="C97" s="219">
        <v>1139300.3999999999</v>
      </c>
      <c r="D97" s="221">
        <v>920500</v>
      </c>
      <c r="E97" s="220">
        <f t="shared" si="9"/>
        <v>80.795196771632845</v>
      </c>
      <c r="F97" s="114" t="s">
        <v>76</v>
      </c>
      <c r="G97" s="113" t="s">
        <v>32</v>
      </c>
      <c r="H97" s="31"/>
    </row>
    <row r="98" spans="1:8" s="35" customFormat="1" x14ac:dyDescent="0.2">
      <c r="A98" s="227" t="s">
        <v>82</v>
      </c>
      <c r="B98" s="226">
        <v>0</v>
      </c>
      <c r="C98" s="219">
        <v>9801</v>
      </c>
      <c r="D98" s="221">
        <v>9801</v>
      </c>
      <c r="E98" s="220">
        <f t="shared" si="9"/>
        <v>100</v>
      </c>
      <c r="F98" s="114" t="s">
        <v>77</v>
      </c>
      <c r="G98" s="113" t="s">
        <v>32</v>
      </c>
      <c r="H98" s="31"/>
    </row>
    <row r="99" spans="1:8" s="35" customFormat="1" x14ac:dyDescent="0.2">
      <c r="A99" s="227" t="s">
        <v>142</v>
      </c>
      <c r="B99" s="218">
        <v>250000</v>
      </c>
      <c r="C99" s="221">
        <v>250000</v>
      </c>
      <c r="D99" s="221">
        <v>126324</v>
      </c>
      <c r="E99" s="220">
        <f t="shared" si="9"/>
        <v>50.529599999999995</v>
      </c>
      <c r="F99" s="115" t="s">
        <v>127</v>
      </c>
      <c r="G99" s="136" t="s">
        <v>32</v>
      </c>
      <c r="H99" s="31"/>
    </row>
    <row r="100" spans="1:8" s="35" customFormat="1" ht="25.5" x14ac:dyDescent="0.2">
      <c r="A100" s="227" t="s">
        <v>143</v>
      </c>
      <c r="B100" s="218">
        <v>18490000</v>
      </c>
      <c r="C100" s="221">
        <v>24453092.120000001</v>
      </c>
      <c r="D100" s="221">
        <v>24453092.120000001</v>
      </c>
      <c r="E100" s="220">
        <f t="shared" si="9"/>
        <v>100</v>
      </c>
      <c r="F100" s="115" t="s">
        <v>128</v>
      </c>
      <c r="G100" s="136" t="s">
        <v>32</v>
      </c>
      <c r="H100" s="31"/>
    </row>
    <row r="101" spans="1:8" s="35" customFormat="1" ht="25.5" x14ac:dyDescent="0.2">
      <c r="A101" s="227" t="s">
        <v>144</v>
      </c>
      <c r="B101" s="218">
        <v>150000</v>
      </c>
      <c r="C101" s="221">
        <v>5150000</v>
      </c>
      <c r="D101" s="221">
        <v>4967391.99</v>
      </c>
      <c r="E101" s="220">
        <f t="shared" si="9"/>
        <v>96.454213398058258</v>
      </c>
      <c r="F101" s="115" t="s">
        <v>129</v>
      </c>
      <c r="G101" s="136" t="s">
        <v>32</v>
      </c>
      <c r="H101" s="31"/>
    </row>
    <row r="102" spans="1:8" s="35" customFormat="1" ht="25.5" x14ac:dyDescent="0.2">
      <c r="A102" s="227" t="s">
        <v>238</v>
      </c>
      <c r="B102" s="218">
        <v>4000000</v>
      </c>
      <c r="C102" s="221">
        <v>5926440.1900000004</v>
      </c>
      <c r="D102" s="221">
        <v>5926440.1900000004</v>
      </c>
      <c r="E102" s="220">
        <f t="shared" si="9"/>
        <v>100</v>
      </c>
      <c r="F102" s="115" t="s">
        <v>194</v>
      </c>
      <c r="G102" s="136" t="s">
        <v>32</v>
      </c>
      <c r="H102" s="31"/>
    </row>
    <row r="103" spans="1:8" s="35" customFormat="1" ht="25.5" x14ac:dyDescent="0.2">
      <c r="A103" s="227" t="s">
        <v>145</v>
      </c>
      <c r="B103" s="218">
        <v>650000</v>
      </c>
      <c r="C103" s="221">
        <v>706606</v>
      </c>
      <c r="D103" s="221">
        <v>249710</v>
      </c>
      <c r="E103" s="220">
        <f t="shared" si="9"/>
        <v>35.339354604970801</v>
      </c>
      <c r="F103" s="115" t="s">
        <v>130</v>
      </c>
      <c r="G103" s="136" t="s">
        <v>32</v>
      </c>
      <c r="H103" s="31"/>
    </row>
    <row r="104" spans="1:8" s="35" customFormat="1" ht="25.5" x14ac:dyDescent="0.2">
      <c r="A104" s="227" t="s">
        <v>146</v>
      </c>
      <c r="B104" s="218">
        <v>2000000</v>
      </c>
      <c r="C104" s="221">
        <v>0</v>
      </c>
      <c r="D104" s="221">
        <v>0</v>
      </c>
      <c r="E104" s="220">
        <v>0</v>
      </c>
      <c r="F104" s="115" t="s">
        <v>131</v>
      </c>
      <c r="G104" s="136" t="s">
        <v>32</v>
      </c>
      <c r="H104" s="31"/>
    </row>
    <row r="105" spans="1:8" s="35" customFormat="1" x14ac:dyDescent="0.2">
      <c r="A105" s="227" t="s">
        <v>214</v>
      </c>
      <c r="B105" s="218">
        <v>0</v>
      </c>
      <c r="C105" s="221">
        <v>1311000</v>
      </c>
      <c r="D105" s="221">
        <v>1311000</v>
      </c>
      <c r="E105" s="220">
        <f t="shared" si="9"/>
        <v>100</v>
      </c>
      <c r="F105" s="115" t="s">
        <v>195</v>
      </c>
      <c r="G105" s="136" t="s">
        <v>32</v>
      </c>
      <c r="H105" s="31"/>
    </row>
    <row r="106" spans="1:8" s="35" customFormat="1" x14ac:dyDescent="0.2">
      <c r="A106" s="227" t="s">
        <v>215</v>
      </c>
      <c r="B106" s="218">
        <v>0</v>
      </c>
      <c r="C106" s="221">
        <v>127963.08</v>
      </c>
      <c r="D106" s="221">
        <v>127963.08</v>
      </c>
      <c r="E106" s="220">
        <f t="shared" si="9"/>
        <v>100</v>
      </c>
      <c r="F106" s="115" t="s">
        <v>196</v>
      </c>
      <c r="G106" s="136" t="s">
        <v>32</v>
      </c>
      <c r="H106" s="31"/>
    </row>
    <row r="107" spans="1:8" s="35" customFormat="1" x14ac:dyDescent="0.2">
      <c r="A107" s="227" t="s">
        <v>216</v>
      </c>
      <c r="B107" s="218">
        <v>0</v>
      </c>
      <c r="C107" s="221">
        <v>204715</v>
      </c>
      <c r="D107" s="221">
        <v>190659</v>
      </c>
      <c r="E107" s="220">
        <f t="shared" si="9"/>
        <v>93.133869037442295</v>
      </c>
      <c r="F107" s="115" t="s">
        <v>197</v>
      </c>
      <c r="G107" s="136" t="s">
        <v>32</v>
      </c>
      <c r="H107" s="31"/>
    </row>
    <row r="108" spans="1:8" s="35" customFormat="1" x14ac:dyDescent="0.2">
      <c r="A108" s="227" t="s">
        <v>217</v>
      </c>
      <c r="B108" s="218">
        <v>0</v>
      </c>
      <c r="C108" s="221">
        <v>2075000</v>
      </c>
      <c r="D108" s="221">
        <v>1481215.35</v>
      </c>
      <c r="E108" s="220">
        <f t="shared" si="9"/>
        <v>71.383872289156642</v>
      </c>
      <c r="F108" s="115" t="s">
        <v>198</v>
      </c>
      <c r="G108" s="136" t="s">
        <v>32</v>
      </c>
      <c r="H108" s="31"/>
    </row>
    <row r="109" spans="1:8" s="35" customFormat="1" x14ac:dyDescent="0.2">
      <c r="A109" s="227" t="s">
        <v>218</v>
      </c>
      <c r="B109" s="218">
        <v>600000</v>
      </c>
      <c r="C109" s="221">
        <v>54394</v>
      </c>
      <c r="D109" s="221">
        <v>0</v>
      </c>
      <c r="E109" s="220">
        <f t="shared" si="9"/>
        <v>0</v>
      </c>
      <c r="F109" s="115" t="s">
        <v>199</v>
      </c>
      <c r="G109" s="136" t="s">
        <v>32</v>
      </c>
      <c r="H109" s="31"/>
    </row>
    <row r="110" spans="1:8" s="35" customFormat="1" x14ac:dyDescent="0.2">
      <c r="A110" s="227" t="s">
        <v>219</v>
      </c>
      <c r="B110" s="218">
        <v>2000000</v>
      </c>
      <c r="C110" s="221">
        <v>958134</v>
      </c>
      <c r="D110" s="221">
        <v>48400</v>
      </c>
      <c r="E110" s="220">
        <f t="shared" si="9"/>
        <v>5.0514854915909462</v>
      </c>
      <c r="F110" s="115" t="s">
        <v>200</v>
      </c>
      <c r="G110" s="136" t="s">
        <v>32</v>
      </c>
      <c r="H110" s="31"/>
    </row>
    <row r="111" spans="1:8" s="35" customFormat="1" ht="25.5" x14ac:dyDescent="0.2">
      <c r="A111" s="537" t="s">
        <v>321</v>
      </c>
      <c r="B111" s="489">
        <v>0</v>
      </c>
      <c r="C111" s="538">
        <v>6208000</v>
      </c>
      <c r="D111" s="538">
        <v>5369289.8799999999</v>
      </c>
      <c r="E111" s="490">
        <f t="shared" si="9"/>
        <v>86.489849871134012</v>
      </c>
      <c r="F111" s="115" t="s">
        <v>283</v>
      </c>
      <c r="G111" s="136" t="s">
        <v>32</v>
      </c>
      <c r="H111" s="31"/>
    </row>
    <row r="112" spans="1:8" s="35" customFormat="1" x14ac:dyDescent="0.2">
      <c r="A112" s="537" t="s">
        <v>257</v>
      </c>
      <c r="B112" s="489">
        <v>0</v>
      </c>
      <c r="C112" s="538">
        <v>39848</v>
      </c>
      <c r="D112" s="538">
        <v>39848</v>
      </c>
      <c r="E112" s="490">
        <f t="shared" si="9"/>
        <v>100</v>
      </c>
      <c r="F112" s="115" t="s">
        <v>241</v>
      </c>
      <c r="G112" s="136" t="s">
        <v>32</v>
      </c>
      <c r="H112" s="31"/>
    </row>
    <row r="113" spans="1:8" s="35" customFormat="1" x14ac:dyDescent="0.2">
      <c r="A113" s="537" t="s">
        <v>258</v>
      </c>
      <c r="B113" s="489">
        <v>0</v>
      </c>
      <c r="C113" s="538">
        <v>32065</v>
      </c>
      <c r="D113" s="538">
        <v>0</v>
      </c>
      <c r="E113" s="490">
        <f t="shared" si="9"/>
        <v>0</v>
      </c>
      <c r="F113" s="115" t="s">
        <v>242</v>
      </c>
      <c r="G113" s="136" t="s">
        <v>32</v>
      </c>
      <c r="H113" s="31"/>
    </row>
    <row r="114" spans="1:8" s="35" customFormat="1" ht="13.5" thickBot="1" x14ac:dyDescent="0.25">
      <c r="A114" s="228" t="s">
        <v>259</v>
      </c>
      <c r="B114" s="407">
        <v>450000</v>
      </c>
      <c r="C114" s="224">
        <v>179951</v>
      </c>
      <c r="D114" s="224">
        <v>179951</v>
      </c>
      <c r="E114" s="225">
        <f t="shared" si="9"/>
        <v>100</v>
      </c>
      <c r="F114" s="115" t="s">
        <v>243</v>
      </c>
      <c r="G114" s="136" t="s">
        <v>32</v>
      </c>
      <c r="H114" s="31"/>
    </row>
    <row r="115" spans="1:8" s="53" customFormat="1" ht="15.75" thickTop="1" x14ac:dyDescent="0.25">
      <c r="A115" s="39"/>
      <c r="B115" s="32"/>
      <c r="C115" s="5"/>
      <c r="D115" s="3"/>
      <c r="E115" s="40"/>
      <c r="F115" s="88"/>
      <c r="G115" s="52"/>
      <c r="H115" s="52"/>
    </row>
    <row r="116" spans="1:8" s="53" customFormat="1" ht="15.75" thickBot="1" x14ac:dyDescent="0.25">
      <c r="A116" s="56" t="s">
        <v>29</v>
      </c>
      <c r="B116" s="32"/>
      <c r="C116" s="5"/>
      <c r="D116" s="5"/>
      <c r="E116" s="40" t="s">
        <v>18</v>
      </c>
      <c r="F116" s="88"/>
      <c r="G116" s="52"/>
      <c r="H116" s="52"/>
    </row>
    <row r="117" spans="1:8" s="53" customFormat="1" ht="14.25" thickTop="1" thickBot="1" x14ac:dyDescent="0.25">
      <c r="A117" s="41" t="s">
        <v>5</v>
      </c>
      <c r="B117" s="42" t="s">
        <v>0</v>
      </c>
      <c r="C117" s="43" t="s">
        <v>1</v>
      </c>
      <c r="D117" s="44" t="s">
        <v>4</v>
      </c>
      <c r="E117" s="45" t="s">
        <v>6</v>
      </c>
      <c r="F117" s="88"/>
      <c r="G117" s="52"/>
      <c r="H117" s="52"/>
    </row>
    <row r="118" spans="1:8" s="53" customFormat="1" ht="15.75" thickTop="1" x14ac:dyDescent="0.2">
      <c r="A118" s="148" t="s">
        <v>9</v>
      </c>
      <c r="B118" s="109">
        <f>SUM(B119:B129)</f>
        <v>0</v>
      </c>
      <c r="C118" s="109">
        <f>SUM(C119:C129)</f>
        <v>3581367.07</v>
      </c>
      <c r="D118" s="109">
        <f>SUM(D119:D129)</f>
        <v>3581367.07</v>
      </c>
      <c r="E118" s="149">
        <f>D118/C118*100</f>
        <v>100</v>
      </c>
      <c r="G118" s="118"/>
      <c r="H118" s="52"/>
    </row>
    <row r="119" spans="1:8" s="53" customFormat="1" x14ac:dyDescent="0.2">
      <c r="A119" s="526" t="s">
        <v>368</v>
      </c>
      <c r="B119" s="411">
        <v>0</v>
      </c>
      <c r="C119" s="408">
        <v>554922.27</v>
      </c>
      <c r="D119" s="408">
        <v>554922.27</v>
      </c>
      <c r="E119" s="220">
        <f t="shared" ref="E119:E129" si="10">D119/C119*100</f>
        <v>100</v>
      </c>
      <c r="F119" s="116" t="s">
        <v>132</v>
      </c>
      <c r="G119" s="118" t="s">
        <v>102</v>
      </c>
      <c r="H119" s="52"/>
    </row>
    <row r="120" spans="1:8" s="53" customFormat="1" x14ac:dyDescent="0.2">
      <c r="A120" s="526" t="s">
        <v>369</v>
      </c>
      <c r="B120" s="411">
        <v>0</v>
      </c>
      <c r="C120" s="408">
        <v>225452.4</v>
      </c>
      <c r="D120" s="408">
        <v>225452.4</v>
      </c>
      <c r="E120" s="220">
        <f t="shared" si="10"/>
        <v>100</v>
      </c>
      <c r="F120" s="116" t="s">
        <v>286</v>
      </c>
      <c r="G120" s="118" t="s">
        <v>102</v>
      </c>
      <c r="H120" s="52"/>
    </row>
    <row r="121" spans="1:8" s="53" customFormat="1" x14ac:dyDescent="0.2">
      <c r="A121" s="217" t="s">
        <v>157</v>
      </c>
      <c r="B121" s="411">
        <v>0</v>
      </c>
      <c r="C121" s="408">
        <f>6050+200000</f>
        <v>206050</v>
      </c>
      <c r="D121" s="408">
        <f>6050+200000</f>
        <v>206050</v>
      </c>
      <c r="E121" s="220">
        <f t="shared" si="10"/>
        <v>100</v>
      </c>
      <c r="F121" s="116" t="s">
        <v>70</v>
      </c>
      <c r="G121" s="118" t="s">
        <v>102</v>
      </c>
      <c r="H121" s="52"/>
    </row>
    <row r="122" spans="1:8" s="53" customFormat="1" x14ac:dyDescent="0.2">
      <c r="A122" s="217" t="s">
        <v>158</v>
      </c>
      <c r="B122" s="411">
        <v>0</v>
      </c>
      <c r="C122" s="408">
        <f>197987+453000</f>
        <v>650987</v>
      </c>
      <c r="D122" s="408">
        <f>197987+453000</f>
        <v>650987</v>
      </c>
      <c r="E122" s="220">
        <f t="shared" si="10"/>
        <v>100</v>
      </c>
      <c r="F122" s="116" t="s">
        <v>105</v>
      </c>
      <c r="G122" s="118" t="s">
        <v>102</v>
      </c>
      <c r="H122" s="52"/>
    </row>
    <row r="123" spans="1:8" s="53" customFormat="1" x14ac:dyDescent="0.2">
      <c r="A123" s="217" t="s">
        <v>159</v>
      </c>
      <c r="B123" s="411">
        <v>0</v>
      </c>
      <c r="C123" s="408">
        <v>248950</v>
      </c>
      <c r="D123" s="408">
        <v>248950</v>
      </c>
      <c r="E123" s="220">
        <f t="shared" si="10"/>
        <v>100</v>
      </c>
      <c r="F123" s="116" t="s">
        <v>57</v>
      </c>
      <c r="G123" s="118" t="s">
        <v>102</v>
      </c>
      <c r="H123" s="52"/>
    </row>
    <row r="124" spans="1:8" s="53" customFormat="1" x14ac:dyDescent="0.2">
      <c r="A124" s="526" t="s">
        <v>162</v>
      </c>
      <c r="B124" s="411">
        <v>0</v>
      </c>
      <c r="C124" s="408">
        <v>350000</v>
      </c>
      <c r="D124" s="408">
        <v>350000</v>
      </c>
      <c r="E124" s="220">
        <f t="shared" si="10"/>
        <v>100</v>
      </c>
      <c r="F124" s="116" t="s">
        <v>106</v>
      </c>
      <c r="G124" s="118" t="s">
        <v>102</v>
      </c>
      <c r="H124" s="52"/>
    </row>
    <row r="125" spans="1:8" s="53" customFormat="1" x14ac:dyDescent="0.2">
      <c r="A125" s="526" t="s">
        <v>370</v>
      </c>
      <c r="B125" s="411">
        <v>0</v>
      </c>
      <c r="C125" s="408">
        <v>157300</v>
      </c>
      <c r="D125" s="408">
        <v>157300</v>
      </c>
      <c r="E125" s="220">
        <f t="shared" si="10"/>
        <v>100</v>
      </c>
      <c r="F125" s="116" t="s">
        <v>72</v>
      </c>
      <c r="G125" s="118" t="s">
        <v>102</v>
      </c>
      <c r="H125" s="52"/>
    </row>
    <row r="126" spans="1:8" s="53" customFormat="1" ht="12.75" customHeight="1" x14ac:dyDescent="0.2">
      <c r="A126" s="526" t="s">
        <v>236</v>
      </c>
      <c r="B126" s="411">
        <v>0</v>
      </c>
      <c r="C126" s="408">
        <f>166375+189014</f>
        <v>355389</v>
      </c>
      <c r="D126" s="408">
        <f>166375+189014</f>
        <v>355389</v>
      </c>
      <c r="E126" s="220">
        <f t="shared" si="10"/>
        <v>100</v>
      </c>
      <c r="F126" s="116" t="s">
        <v>201</v>
      </c>
      <c r="G126" s="118" t="s">
        <v>103</v>
      </c>
      <c r="H126" s="52"/>
    </row>
    <row r="127" spans="1:8" s="53" customFormat="1" x14ac:dyDescent="0.2">
      <c r="A127" s="217" t="s">
        <v>161</v>
      </c>
      <c r="B127" s="411">
        <v>0</v>
      </c>
      <c r="C127" s="408">
        <v>150370.1</v>
      </c>
      <c r="D127" s="408">
        <v>150370.1</v>
      </c>
      <c r="E127" s="220">
        <f t="shared" si="10"/>
        <v>100</v>
      </c>
      <c r="F127" s="116" t="s">
        <v>104</v>
      </c>
      <c r="G127" s="118" t="s">
        <v>103</v>
      </c>
      <c r="H127" s="52"/>
    </row>
    <row r="128" spans="1:8" s="53" customFormat="1" x14ac:dyDescent="0.2">
      <c r="A128" s="217" t="s">
        <v>160</v>
      </c>
      <c r="B128" s="411">
        <v>0</v>
      </c>
      <c r="C128" s="408">
        <v>300000</v>
      </c>
      <c r="D128" s="408">
        <v>300000</v>
      </c>
      <c r="E128" s="220">
        <f t="shared" si="10"/>
        <v>100</v>
      </c>
      <c r="F128" s="116" t="s">
        <v>71</v>
      </c>
      <c r="G128" s="118" t="s">
        <v>103</v>
      </c>
      <c r="H128" s="52"/>
    </row>
    <row r="129" spans="1:12" s="53" customFormat="1" ht="13.5" thickBot="1" x14ac:dyDescent="0.25">
      <c r="A129" s="409" t="s">
        <v>163</v>
      </c>
      <c r="B129" s="447">
        <v>0</v>
      </c>
      <c r="C129" s="410">
        <v>381946.3</v>
      </c>
      <c r="D129" s="410">
        <v>381946.3</v>
      </c>
      <c r="E129" s="225">
        <f t="shared" si="10"/>
        <v>100</v>
      </c>
      <c r="F129" s="116" t="s">
        <v>73</v>
      </c>
      <c r="G129" s="118" t="s">
        <v>103</v>
      </c>
      <c r="H129" s="52"/>
    </row>
    <row r="130" spans="1:12" s="53" customFormat="1" ht="13.5" thickTop="1" x14ac:dyDescent="0.2">
      <c r="A130" s="179"/>
      <c r="B130" s="180"/>
      <c r="C130" s="180"/>
      <c r="D130" s="180"/>
      <c r="E130" s="51"/>
      <c r="F130" s="116"/>
      <c r="G130" s="118"/>
      <c r="H130" s="52"/>
    </row>
    <row r="131" spans="1:12" s="53" customFormat="1" ht="15.75" thickBot="1" x14ac:dyDescent="0.3">
      <c r="A131" s="39" t="s">
        <v>114</v>
      </c>
      <c r="B131" s="32"/>
      <c r="C131" s="5"/>
      <c r="D131" s="5"/>
      <c r="E131" s="40" t="s">
        <v>18</v>
      </c>
      <c r="F131" s="5"/>
      <c r="G131" s="95"/>
      <c r="H131" s="52"/>
      <c r="I131" s="118"/>
      <c r="J131" s="123"/>
      <c r="K131" s="123"/>
      <c r="L131" s="123"/>
    </row>
    <row r="132" spans="1:12" s="53" customFormat="1" ht="14.25" thickTop="1" thickBot="1" x14ac:dyDescent="0.25">
      <c r="A132" s="41" t="s">
        <v>5</v>
      </c>
      <c r="B132" s="42" t="s">
        <v>0</v>
      </c>
      <c r="C132" s="43" t="s">
        <v>1</v>
      </c>
      <c r="D132" s="44" t="s">
        <v>4</v>
      </c>
      <c r="E132" s="45" t="s">
        <v>6</v>
      </c>
      <c r="F132" s="5"/>
      <c r="G132" s="95"/>
      <c r="H132" s="52"/>
      <c r="I132" s="118"/>
      <c r="J132" s="123"/>
      <c r="K132" s="123"/>
      <c r="L132" s="123"/>
    </row>
    <row r="133" spans="1:12" s="53" customFormat="1" ht="15.75" thickTop="1" x14ac:dyDescent="0.2">
      <c r="A133" s="46" t="s">
        <v>9</v>
      </c>
      <c r="B133" s="47">
        <f>SUM(B134:B134)</f>
        <v>0</v>
      </c>
      <c r="C133" s="47">
        <f>SUM(C134:C134)</f>
        <v>4000</v>
      </c>
      <c r="D133" s="47">
        <f>SUM(D134:D134)</f>
        <v>3620</v>
      </c>
      <c r="E133" s="77">
        <f>D133/C133*100</f>
        <v>90.5</v>
      </c>
      <c r="F133" s="78" t="s">
        <v>2</v>
      </c>
      <c r="G133" s="140" t="s">
        <v>34</v>
      </c>
      <c r="H133" s="52"/>
      <c r="I133" s="118"/>
      <c r="J133" s="123"/>
      <c r="K133" s="123"/>
      <c r="L133" s="123"/>
    </row>
    <row r="134" spans="1:12" s="53" customFormat="1" ht="13.5" thickBot="1" x14ac:dyDescent="0.25">
      <c r="A134" s="170" t="s">
        <v>285</v>
      </c>
      <c r="B134" s="130">
        <v>0</v>
      </c>
      <c r="C134" s="132">
        <v>4000</v>
      </c>
      <c r="D134" s="130">
        <v>3620</v>
      </c>
      <c r="E134" s="131">
        <f t="shared" ref="E134" si="11">D134/C134*100</f>
        <v>90.5</v>
      </c>
      <c r="F134" s="117"/>
      <c r="G134" s="96"/>
      <c r="H134" s="52"/>
      <c r="I134" s="124" t="s">
        <v>34</v>
      </c>
      <c r="J134" s="125">
        <f>B133</f>
        <v>0</v>
      </c>
      <c r="K134" s="125">
        <f>C133</f>
        <v>4000</v>
      </c>
      <c r="L134" s="125">
        <f>D133</f>
        <v>3620</v>
      </c>
    </row>
    <row r="135" spans="1:12" s="53" customFormat="1" ht="13.5" thickTop="1" x14ac:dyDescent="0.2">
      <c r="A135" s="179"/>
      <c r="B135" s="180"/>
      <c r="C135" s="180"/>
      <c r="D135" s="180"/>
      <c r="E135" s="51"/>
      <c r="F135" s="116"/>
      <c r="G135" s="118"/>
      <c r="H135" s="52"/>
      <c r="I135" s="136" t="s">
        <v>32</v>
      </c>
      <c r="J135" s="137">
        <f>SUM(B93:B114)</f>
        <v>74390000</v>
      </c>
      <c r="K135" s="137">
        <f t="shared" ref="K135:L135" si="12">SUM(C93:C114)</f>
        <v>93017623.599999994</v>
      </c>
      <c r="L135" s="137">
        <f t="shared" si="12"/>
        <v>82268716.099999979</v>
      </c>
    </row>
    <row r="136" spans="1:12" s="53" customFormat="1" x14ac:dyDescent="0.2">
      <c r="A136" s="179"/>
      <c r="B136" s="180"/>
      <c r="C136" s="180"/>
      <c r="D136" s="180"/>
      <c r="E136" s="51"/>
      <c r="F136" s="116"/>
      <c r="G136" s="118"/>
      <c r="H136" s="52"/>
      <c r="I136" s="118" t="s">
        <v>33</v>
      </c>
      <c r="J136" s="123">
        <f>B118</f>
        <v>0</v>
      </c>
      <c r="K136" s="123">
        <f>C118</f>
        <v>3581367.07</v>
      </c>
      <c r="L136" s="123">
        <f>D118</f>
        <v>3581367.07</v>
      </c>
    </row>
    <row r="137" spans="1:12" s="6" customFormat="1" ht="18.75" thickBot="1" x14ac:dyDescent="0.3">
      <c r="A137" s="61" t="s">
        <v>21</v>
      </c>
      <c r="B137" s="446">
        <f>SUM(B92,B118,B133)</f>
        <v>74390000</v>
      </c>
      <c r="C137" s="446">
        <f>SUM(C92,C118,C133)</f>
        <v>96602990.669999987</v>
      </c>
      <c r="D137" s="446">
        <f>SUM(D92,D118,D133)</f>
        <v>85853703.169999972</v>
      </c>
      <c r="E137" s="63">
        <f>D137/C137*100</f>
        <v>88.872717681463882</v>
      </c>
      <c r="F137" s="29"/>
      <c r="G137" s="64"/>
      <c r="H137" s="64"/>
      <c r="I137" s="140"/>
      <c r="J137" s="121">
        <f>J135+J136+J134</f>
        <v>74390000</v>
      </c>
      <c r="K137" s="121">
        <f t="shared" ref="K137:L137" si="13">K135+K136+K134</f>
        <v>96602990.669999987</v>
      </c>
      <c r="L137" s="121">
        <f t="shared" si="13"/>
        <v>85853703.169999972</v>
      </c>
    </row>
    <row r="138" spans="1:12" s="7" customFormat="1" ht="13.5" thickTop="1" x14ac:dyDescent="0.2">
      <c r="B138" s="448"/>
      <c r="E138" s="51"/>
      <c r="F138" s="81"/>
      <c r="G138" s="55"/>
      <c r="H138" s="55"/>
    </row>
    <row r="139" spans="1:12" s="7" customFormat="1" x14ac:dyDescent="0.2">
      <c r="B139" s="448"/>
      <c r="E139" s="51"/>
      <c r="F139" s="81"/>
      <c r="G139" s="55"/>
      <c r="H139" s="55"/>
    </row>
    <row r="140" spans="1:12" ht="15" customHeight="1" x14ac:dyDescent="0.25">
      <c r="A140" s="36" t="s">
        <v>47</v>
      </c>
      <c r="B140" s="32"/>
    </row>
    <row r="141" spans="1:12" ht="15" customHeight="1" thickBot="1" x14ac:dyDescent="0.3">
      <c r="A141" s="39" t="s">
        <v>78</v>
      </c>
      <c r="B141" s="32"/>
      <c r="E141" s="40" t="s">
        <v>18</v>
      </c>
    </row>
    <row r="142" spans="1:12" ht="14.25" thickTop="1" thickBot="1" x14ac:dyDescent="0.25">
      <c r="A142" s="41" t="s">
        <v>5</v>
      </c>
      <c r="B142" s="42" t="s">
        <v>0</v>
      </c>
      <c r="C142" s="43" t="s">
        <v>1</v>
      </c>
      <c r="D142" s="44" t="s">
        <v>4</v>
      </c>
      <c r="E142" s="45" t="s">
        <v>6</v>
      </c>
    </row>
    <row r="143" spans="1:12" ht="15.75" thickTop="1" x14ac:dyDescent="0.2">
      <c r="A143" s="148" t="s">
        <v>8</v>
      </c>
      <c r="B143" s="109">
        <f>SUM(B144:B151)</f>
        <v>75410000</v>
      </c>
      <c r="C143" s="109">
        <f>SUM(C144:C151)</f>
        <v>59549741.810000002</v>
      </c>
      <c r="D143" s="109">
        <f>SUM(D144:D151)</f>
        <v>43915905.040000007</v>
      </c>
      <c r="E143" s="149">
        <f>D143/C143*100</f>
        <v>73.746591849413107</v>
      </c>
      <c r="F143" s="37"/>
    </row>
    <row r="144" spans="1:12" x14ac:dyDescent="0.2">
      <c r="A144" s="469" t="s">
        <v>260</v>
      </c>
      <c r="B144" s="465">
        <v>0</v>
      </c>
      <c r="C144" s="470">
        <v>175000</v>
      </c>
      <c r="D144" s="470">
        <v>0</v>
      </c>
      <c r="E144" s="466">
        <f t="shared" ref="E144:E151" si="14">D144/C144*100</f>
        <v>0</v>
      </c>
      <c r="F144" s="84">
        <v>100418</v>
      </c>
      <c r="G144" s="113" t="s">
        <v>32</v>
      </c>
    </row>
    <row r="145" spans="1:9" s="35" customFormat="1" ht="25.5" x14ac:dyDescent="0.2">
      <c r="A145" s="227" t="s">
        <v>261</v>
      </c>
      <c r="B145" s="218">
        <v>410000</v>
      </c>
      <c r="C145" s="411">
        <v>370904</v>
      </c>
      <c r="D145" s="411">
        <v>370904</v>
      </c>
      <c r="E145" s="220">
        <f t="shared" si="14"/>
        <v>100</v>
      </c>
      <c r="F145" s="84">
        <v>100633</v>
      </c>
      <c r="G145" s="113" t="s">
        <v>32</v>
      </c>
      <c r="H145" s="30"/>
    </row>
    <row r="146" spans="1:9" s="35" customFormat="1" x14ac:dyDescent="0.2">
      <c r="A146" s="236" t="s">
        <v>262</v>
      </c>
      <c r="B146" s="413">
        <v>0</v>
      </c>
      <c r="C146" s="237">
        <v>239000</v>
      </c>
      <c r="D146" s="237">
        <v>0</v>
      </c>
      <c r="E146" s="220">
        <v>0</v>
      </c>
      <c r="F146" s="84">
        <v>100636</v>
      </c>
      <c r="G146" s="113" t="s">
        <v>32</v>
      </c>
      <c r="H146" s="30"/>
    </row>
    <row r="147" spans="1:9" s="35" customFormat="1" ht="25.5" x14ac:dyDescent="0.2">
      <c r="A147" s="227" t="s">
        <v>263</v>
      </c>
      <c r="B147" s="218">
        <v>4500000</v>
      </c>
      <c r="C147" s="411">
        <v>3010855.31</v>
      </c>
      <c r="D147" s="411">
        <v>3010855.31</v>
      </c>
      <c r="E147" s="220">
        <f t="shared" si="14"/>
        <v>100</v>
      </c>
      <c r="F147" s="84">
        <v>101079</v>
      </c>
      <c r="G147" s="113" t="s">
        <v>32</v>
      </c>
      <c r="H147" s="30"/>
    </row>
    <row r="148" spans="1:9" s="35" customFormat="1" x14ac:dyDescent="0.2">
      <c r="A148" s="227" t="s">
        <v>264</v>
      </c>
      <c r="B148" s="218">
        <v>70000000</v>
      </c>
      <c r="C148" s="411">
        <v>54761000</v>
      </c>
      <c r="D148" s="411">
        <v>40382683.210000001</v>
      </c>
      <c r="E148" s="220">
        <f t="shared" si="14"/>
        <v>73.743509450156125</v>
      </c>
      <c r="F148" s="80">
        <v>101168</v>
      </c>
      <c r="G148" s="136" t="s">
        <v>32</v>
      </c>
      <c r="H148" s="30"/>
    </row>
    <row r="149" spans="1:9" s="35" customFormat="1" x14ac:dyDescent="0.2">
      <c r="A149" s="227" t="s">
        <v>265</v>
      </c>
      <c r="B149" s="218">
        <v>500000</v>
      </c>
      <c r="C149" s="411">
        <v>500000</v>
      </c>
      <c r="D149" s="411">
        <v>0</v>
      </c>
      <c r="E149" s="220">
        <f t="shared" ref="E149" si="15">D149/C149*100</f>
        <v>0</v>
      </c>
      <c r="F149" s="84">
        <v>101475</v>
      </c>
      <c r="G149" s="113" t="s">
        <v>32</v>
      </c>
      <c r="H149" s="30"/>
    </row>
    <row r="150" spans="1:9" s="35" customFormat="1" x14ac:dyDescent="0.2">
      <c r="A150" s="227" t="s">
        <v>319</v>
      </c>
      <c r="B150" s="218">
        <v>0</v>
      </c>
      <c r="C150" s="411">
        <v>281000</v>
      </c>
      <c r="D150" s="411">
        <v>0</v>
      </c>
      <c r="E150" s="220">
        <f t="shared" si="14"/>
        <v>0</v>
      </c>
      <c r="F150" s="84">
        <v>101496</v>
      </c>
      <c r="G150" s="113" t="s">
        <v>32</v>
      </c>
      <c r="H150" s="30"/>
    </row>
    <row r="151" spans="1:9" s="35" customFormat="1" ht="13.5" thickBot="1" x14ac:dyDescent="0.25">
      <c r="A151" s="228" t="s">
        <v>320</v>
      </c>
      <c r="B151" s="407">
        <v>0</v>
      </c>
      <c r="C151" s="447">
        <v>211982.5</v>
      </c>
      <c r="D151" s="447">
        <v>151462.51999999999</v>
      </c>
      <c r="E151" s="225">
        <f t="shared" si="14"/>
        <v>71.450482940808797</v>
      </c>
      <c r="F151" s="84">
        <v>101497</v>
      </c>
      <c r="G151" s="113" t="s">
        <v>32</v>
      </c>
      <c r="H151" s="30"/>
    </row>
    <row r="152" spans="1:9" ht="13.5" thickTop="1" x14ac:dyDescent="0.2">
      <c r="A152" s="65"/>
      <c r="B152" s="72"/>
      <c r="C152" s="68"/>
      <c r="D152" s="68"/>
      <c r="E152" s="51"/>
      <c r="F152" s="37"/>
      <c r="G152" s="113"/>
    </row>
    <row r="153" spans="1:9" ht="15" customHeight="1" thickBot="1" x14ac:dyDescent="0.25">
      <c r="A153" s="56" t="s">
        <v>29</v>
      </c>
      <c r="B153" s="32"/>
      <c r="E153" s="40" t="s">
        <v>18</v>
      </c>
    </row>
    <row r="154" spans="1:9" ht="14.25" thickTop="1" thickBot="1" x14ac:dyDescent="0.25">
      <c r="A154" s="41" t="s">
        <v>5</v>
      </c>
      <c r="B154" s="42" t="s">
        <v>0</v>
      </c>
      <c r="C154" s="43" t="s">
        <v>1</v>
      </c>
      <c r="D154" s="44" t="s">
        <v>4</v>
      </c>
      <c r="E154" s="45" t="s">
        <v>6</v>
      </c>
    </row>
    <row r="155" spans="1:9" ht="15.75" thickTop="1" x14ac:dyDescent="0.2">
      <c r="A155" s="148" t="s">
        <v>8</v>
      </c>
      <c r="B155" s="109">
        <f>SUM(B156:B160)</f>
        <v>600000</v>
      </c>
      <c r="C155" s="109">
        <f>SUM(C156:C160)</f>
        <v>6254714.3399999999</v>
      </c>
      <c r="D155" s="109">
        <f>SUM(D156:D160)</f>
        <v>6254714.3399999999</v>
      </c>
      <c r="E155" s="149">
        <f>D155/C155*100</f>
        <v>100</v>
      </c>
      <c r="F155" s="37"/>
    </row>
    <row r="156" spans="1:9" ht="14.25" customHeight="1" x14ac:dyDescent="0.2">
      <c r="A156" s="227" t="s">
        <v>166</v>
      </c>
      <c r="B156" s="237">
        <v>0</v>
      </c>
      <c r="C156" s="237">
        <v>120000</v>
      </c>
      <c r="D156" s="237">
        <v>120000</v>
      </c>
      <c r="E156" s="466">
        <f t="shared" ref="E156:E160" si="16">D156/C156*100</f>
        <v>100</v>
      </c>
      <c r="F156" s="84">
        <v>1604</v>
      </c>
      <c r="G156" s="118" t="s">
        <v>107</v>
      </c>
    </row>
    <row r="157" spans="1:9" x14ac:dyDescent="0.2">
      <c r="A157" s="227" t="s">
        <v>167</v>
      </c>
      <c r="B157" s="237">
        <v>0</v>
      </c>
      <c r="C157" s="237">
        <v>2653452</v>
      </c>
      <c r="D157" s="237">
        <v>2653452</v>
      </c>
      <c r="E157" s="466">
        <f t="shared" si="16"/>
        <v>100</v>
      </c>
      <c r="F157" s="84">
        <v>1606</v>
      </c>
      <c r="G157" s="118" t="s">
        <v>107</v>
      </c>
    </row>
    <row r="158" spans="1:9" x14ac:dyDescent="0.2">
      <c r="A158" s="227" t="s">
        <v>165</v>
      </c>
      <c r="B158" s="237">
        <v>0</v>
      </c>
      <c r="C158" s="237">
        <f>1774244.54+350767.8</f>
        <v>2125012.34</v>
      </c>
      <c r="D158" s="237">
        <f>1774244.54+350767.8</f>
        <v>2125012.34</v>
      </c>
      <c r="E158" s="466">
        <f t="shared" si="16"/>
        <v>100</v>
      </c>
      <c r="F158" s="84">
        <v>1603</v>
      </c>
      <c r="G158" s="118" t="s">
        <v>108</v>
      </c>
    </row>
    <row r="159" spans="1:9" ht="12.75" customHeight="1" x14ac:dyDescent="0.2">
      <c r="A159" s="227" t="s">
        <v>166</v>
      </c>
      <c r="B159" s="237">
        <v>600000</v>
      </c>
      <c r="C159" s="237">
        <v>600000</v>
      </c>
      <c r="D159" s="237">
        <v>600000</v>
      </c>
      <c r="E159" s="466">
        <f t="shared" si="16"/>
        <v>100</v>
      </c>
      <c r="F159" s="84">
        <v>1604</v>
      </c>
      <c r="G159" s="118" t="s">
        <v>108</v>
      </c>
    </row>
    <row r="160" spans="1:9" ht="18.75" thickBot="1" x14ac:dyDescent="0.3">
      <c r="A160" s="228" t="s">
        <v>167</v>
      </c>
      <c r="B160" s="447">
        <v>0</v>
      </c>
      <c r="C160" s="447">
        <v>756250</v>
      </c>
      <c r="D160" s="447">
        <v>756250</v>
      </c>
      <c r="E160" s="225">
        <f t="shared" si="16"/>
        <v>100</v>
      </c>
      <c r="F160" s="80">
        <v>1606</v>
      </c>
      <c r="G160" s="118" t="s">
        <v>108</v>
      </c>
      <c r="I160" s="6"/>
    </row>
    <row r="161" spans="1:12" ht="13.5" thickTop="1" x14ac:dyDescent="0.2">
      <c r="A161" s="427"/>
      <c r="B161" s="68"/>
      <c r="C161" s="68"/>
      <c r="D161" s="68"/>
      <c r="E161" s="51"/>
      <c r="F161" s="84"/>
      <c r="G161" s="118"/>
      <c r="I161" s="136" t="s">
        <v>32</v>
      </c>
      <c r="J161" s="137">
        <f>B143</f>
        <v>75410000</v>
      </c>
      <c r="K161" s="137">
        <f t="shared" ref="K161:L161" si="17">C143</f>
        <v>59549741.810000002</v>
      </c>
      <c r="L161" s="137">
        <f t="shared" si="17"/>
        <v>43915905.040000007</v>
      </c>
    </row>
    <row r="162" spans="1:12" s="7" customFormat="1" x14ac:dyDescent="0.2">
      <c r="B162" s="449"/>
      <c r="C162" s="91"/>
      <c r="D162" s="91"/>
      <c r="E162" s="51"/>
      <c r="F162" s="81"/>
      <c r="G162" s="55"/>
      <c r="I162" s="118" t="s">
        <v>33</v>
      </c>
      <c r="J162" s="161">
        <f>B155</f>
        <v>600000</v>
      </c>
      <c r="K162" s="161">
        <f t="shared" ref="K162:L162" si="18">C155</f>
        <v>6254714.3399999999</v>
      </c>
      <c r="L162" s="161">
        <f t="shared" si="18"/>
        <v>6254714.3399999999</v>
      </c>
    </row>
    <row r="163" spans="1:12" s="6" customFormat="1" ht="18.75" thickBot="1" x14ac:dyDescent="0.3">
      <c r="A163" s="61" t="s">
        <v>22</v>
      </c>
      <c r="B163" s="446">
        <f>SUM(B155,B143)</f>
        <v>76010000</v>
      </c>
      <c r="C163" s="446">
        <f>SUM(C155,C143)</f>
        <v>65804456.150000006</v>
      </c>
      <c r="D163" s="446">
        <f>SUM(D155,D143)</f>
        <v>50170619.38000001</v>
      </c>
      <c r="E163" s="63">
        <f>D163/C163*100</f>
        <v>76.241978606489866</v>
      </c>
      <c r="F163" s="103"/>
      <c r="G163" s="64"/>
      <c r="I163" s="140"/>
      <c r="J163" s="121">
        <f>J161+J162</f>
        <v>76010000</v>
      </c>
      <c r="K163" s="121">
        <f t="shared" ref="K163:L163" si="19">K161+K162</f>
        <v>65804456.150000006</v>
      </c>
      <c r="L163" s="121">
        <f t="shared" si="19"/>
        <v>50170619.38000001</v>
      </c>
    </row>
    <row r="164" spans="1:12" s="6" customFormat="1" ht="18.75" thickTop="1" x14ac:dyDescent="0.25">
      <c r="A164" s="144"/>
      <c r="B164" s="450"/>
      <c r="C164" s="145"/>
      <c r="D164" s="145"/>
      <c r="E164" s="146"/>
      <c r="F164" s="103"/>
      <c r="G164" s="64"/>
    </row>
    <row r="165" spans="1:12" s="7" customFormat="1" x14ac:dyDescent="0.2">
      <c r="B165" s="448"/>
      <c r="E165" s="51"/>
      <c r="F165" s="81"/>
      <c r="G165" s="55"/>
    </row>
    <row r="166" spans="1:12" ht="15" customHeight="1" x14ac:dyDescent="0.25">
      <c r="A166" s="36" t="s">
        <v>48</v>
      </c>
      <c r="B166" s="32"/>
    </row>
    <row r="167" spans="1:12" ht="15" customHeight="1" thickBot="1" x14ac:dyDescent="0.3">
      <c r="A167" s="39" t="s">
        <v>78</v>
      </c>
      <c r="B167" s="32"/>
      <c r="E167" s="40" t="s">
        <v>18</v>
      </c>
    </row>
    <row r="168" spans="1:12" ht="14.25" thickTop="1" thickBot="1" x14ac:dyDescent="0.25">
      <c r="A168" s="41" t="s">
        <v>5</v>
      </c>
      <c r="B168" s="42" t="s">
        <v>0</v>
      </c>
      <c r="C168" s="43" t="s">
        <v>1</v>
      </c>
      <c r="D168" s="44" t="s">
        <v>4</v>
      </c>
      <c r="E168" s="45" t="s">
        <v>6</v>
      </c>
    </row>
    <row r="169" spans="1:12" ht="15.75" thickTop="1" x14ac:dyDescent="0.25">
      <c r="A169" s="148" t="s">
        <v>11</v>
      </c>
      <c r="B169" s="452">
        <f>SUM(B170:B186)</f>
        <v>47744000</v>
      </c>
      <c r="C169" s="452">
        <f>SUM(C170:C186)</f>
        <v>14972189.449999999</v>
      </c>
      <c r="D169" s="452">
        <f>SUM(D170:D186)</f>
        <v>5760490.1600000001</v>
      </c>
      <c r="E169" s="573">
        <f>D169/C169*100</f>
        <v>38.474601054423609</v>
      </c>
      <c r="F169" s="37"/>
      <c r="H169" s="97"/>
    </row>
    <row r="170" spans="1:12" s="190" customFormat="1" x14ac:dyDescent="0.2">
      <c r="A170" s="473" t="s">
        <v>90</v>
      </c>
      <c r="B170" s="536">
        <v>800000</v>
      </c>
      <c r="C170" s="474">
        <v>200000</v>
      </c>
      <c r="D170" s="475">
        <v>140406</v>
      </c>
      <c r="E170" s="476">
        <f t="shared" ref="E170" si="20">D170/C170*100</f>
        <v>70.203000000000003</v>
      </c>
      <c r="F170" s="185">
        <v>100029</v>
      </c>
      <c r="G170" s="186" t="s">
        <v>32</v>
      </c>
      <c r="H170" s="189"/>
    </row>
    <row r="171" spans="1:12" s="190" customFormat="1" x14ac:dyDescent="0.2">
      <c r="A171" s="232" t="s">
        <v>63</v>
      </c>
      <c r="B171" s="451">
        <v>2000000</v>
      </c>
      <c r="C171" s="230">
        <v>0</v>
      </c>
      <c r="D171" s="233">
        <v>0</v>
      </c>
      <c r="E171" s="231">
        <v>0</v>
      </c>
      <c r="F171" s="191">
        <v>100130</v>
      </c>
      <c r="G171" s="186" t="s">
        <v>32</v>
      </c>
      <c r="H171" s="189"/>
    </row>
    <row r="172" spans="1:12" s="190" customFormat="1" x14ac:dyDescent="0.2">
      <c r="A172" s="232" t="s">
        <v>92</v>
      </c>
      <c r="B172" s="451">
        <v>1000000</v>
      </c>
      <c r="C172" s="229">
        <v>0</v>
      </c>
      <c r="D172" s="233">
        <v>0</v>
      </c>
      <c r="E172" s="231">
        <v>0</v>
      </c>
      <c r="F172" s="191">
        <v>100646</v>
      </c>
      <c r="G172" s="186" t="s">
        <v>32</v>
      </c>
      <c r="H172" s="189"/>
    </row>
    <row r="173" spans="1:12" s="190" customFormat="1" x14ac:dyDescent="0.2">
      <c r="A173" s="232" t="s">
        <v>41</v>
      </c>
      <c r="B173" s="451">
        <v>1500000</v>
      </c>
      <c r="C173" s="230">
        <v>1915000</v>
      </c>
      <c r="D173" s="233">
        <v>778114.1</v>
      </c>
      <c r="E173" s="231">
        <f t="shared" ref="E173:E182" si="21">D173/C173*100</f>
        <v>40.632590078328981</v>
      </c>
      <c r="F173" s="191">
        <v>100907</v>
      </c>
      <c r="G173" s="186" t="s">
        <v>32</v>
      </c>
      <c r="H173" s="189"/>
    </row>
    <row r="174" spans="1:12" s="190" customFormat="1" x14ac:dyDescent="0.2">
      <c r="A174" s="232" t="s">
        <v>42</v>
      </c>
      <c r="B174" s="451">
        <v>1000000</v>
      </c>
      <c r="C174" s="230">
        <v>501291.45</v>
      </c>
      <c r="D174" s="233">
        <v>410480</v>
      </c>
      <c r="E174" s="231">
        <f t="shared" si="21"/>
        <v>81.884500523597609</v>
      </c>
      <c r="F174" s="191">
        <v>100908</v>
      </c>
      <c r="G174" s="186" t="s">
        <v>32</v>
      </c>
      <c r="H174" s="189"/>
    </row>
    <row r="175" spans="1:12" s="190" customFormat="1" x14ac:dyDescent="0.2">
      <c r="A175" s="232" t="s">
        <v>49</v>
      </c>
      <c r="B175" s="451">
        <v>1900000</v>
      </c>
      <c r="C175" s="229">
        <v>0</v>
      </c>
      <c r="D175" s="233">
        <v>0</v>
      </c>
      <c r="E175" s="231">
        <v>0</v>
      </c>
      <c r="F175" s="191">
        <v>100960</v>
      </c>
      <c r="G175" s="186" t="s">
        <v>32</v>
      </c>
    </row>
    <row r="176" spans="1:12" s="190" customFormat="1" x14ac:dyDescent="0.2">
      <c r="A176" s="232" t="s">
        <v>50</v>
      </c>
      <c r="B176" s="451">
        <v>1467000</v>
      </c>
      <c r="C176" s="229">
        <v>1467000</v>
      </c>
      <c r="D176" s="233">
        <v>198827.2</v>
      </c>
      <c r="E176" s="231">
        <f t="shared" si="21"/>
        <v>13.553319700068167</v>
      </c>
      <c r="F176" s="191">
        <v>100961</v>
      </c>
      <c r="G176" s="186" t="s">
        <v>32</v>
      </c>
    </row>
    <row r="177" spans="1:8" s="190" customFormat="1" x14ac:dyDescent="0.2">
      <c r="A177" s="232" t="s">
        <v>96</v>
      </c>
      <c r="B177" s="451">
        <v>7064000</v>
      </c>
      <c r="C177" s="229">
        <v>4490824</v>
      </c>
      <c r="D177" s="233">
        <v>2176620.86</v>
      </c>
      <c r="E177" s="231">
        <f t="shared" si="21"/>
        <v>48.468184457907945</v>
      </c>
      <c r="F177" s="191">
        <v>101004</v>
      </c>
      <c r="G177" s="186" t="s">
        <v>32</v>
      </c>
    </row>
    <row r="178" spans="1:8" s="190" customFormat="1" x14ac:dyDescent="0.2">
      <c r="A178" s="232" t="s">
        <v>97</v>
      </c>
      <c r="B178" s="451">
        <v>18961000</v>
      </c>
      <c r="C178" s="229">
        <v>0</v>
      </c>
      <c r="D178" s="233">
        <v>0</v>
      </c>
      <c r="E178" s="231">
        <v>0</v>
      </c>
      <c r="F178" s="191">
        <v>101007</v>
      </c>
      <c r="G178" s="186" t="s">
        <v>32</v>
      </c>
    </row>
    <row r="179" spans="1:8" s="190" customFormat="1" x14ac:dyDescent="0.2">
      <c r="A179" s="232" t="s">
        <v>172</v>
      </c>
      <c r="B179" s="451">
        <v>3385000</v>
      </c>
      <c r="C179" s="229">
        <v>1985000</v>
      </c>
      <c r="D179" s="233">
        <v>15000</v>
      </c>
      <c r="E179" s="231">
        <f t="shared" si="21"/>
        <v>0.75566750629722923</v>
      </c>
      <c r="F179" s="191">
        <v>101014</v>
      </c>
      <c r="G179" s="186" t="s">
        <v>32</v>
      </c>
    </row>
    <row r="180" spans="1:8" s="190" customFormat="1" x14ac:dyDescent="0.2">
      <c r="A180" s="232" t="s">
        <v>64</v>
      </c>
      <c r="B180" s="451">
        <v>1198000</v>
      </c>
      <c r="C180" s="229">
        <v>1198000</v>
      </c>
      <c r="D180" s="233">
        <v>879954</v>
      </c>
      <c r="E180" s="231">
        <f t="shared" si="21"/>
        <v>73.451919866444072</v>
      </c>
      <c r="F180" s="191">
        <v>101081</v>
      </c>
      <c r="G180" s="186" t="s">
        <v>32</v>
      </c>
      <c r="H180" s="187"/>
    </row>
    <row r="181" spans="1:8" s="190" customFormat="1" x14ac:dyDescent="0.2">
      <c r="A181" s="232" t="s">
        <v>65</v>
      </c>
      <c r="B181" s="451">
        <v>1292000</v>
      </c>
      <c r="C181" s="229">
        <v>0</v>
      </c>
      <c r="D181" s="233">
        <v>0</v>
      </c>
      <c r="E181" s="231">
        <v>0</v>
      </c>
      <c r="F181" s="191">
        <v>101083</v>
      </c>
      <c r="G181" s="186" t="s">
        <v>32</v>
      </c>
      <c r="H181" s="187"/>
    </row>
    <row r="182" spans="1:8" s="190" customFormat="1" x14ac:dyDescent="0.2">
      <c r="A182" s="527" t="s">
        <v>220</v>
      </c>
      <c r="B182" s="493">
        <v>1644000</v>
      </c>
      <c r="C182" s="539">
        <v>509652</v>
      </c>
      <c r="D182" s="540">
        <v>254826</v>
      </c>
      <c r="E182" s="231">
        <f t="shared" si="21"/>
        <v>50</v>
      </c>
      <c r="F182" s="191">
        <v>101443</v>
      </c>
      <c r="G182" s="186" t="s">
        <v>32</v>
      </c>
      <c r="H182" s="187"/>
    </row>
    <row r="183" spans="1:8" s="190" customFormat="1" ht="25.5" x14ac:dyDescent="0.2">
      <c r="A183" s="527" t="s">
        <v>266</v>
      </c>
      <c r="B183" s="546">
        <v>600000</v>
      </c>
      <c r="C183" s="540">
        <v>250712</v>
      </c>
      <c r="D183" s="540">
        <v>250712</v>
      </c>
      <c r="E183" s="231">
        <f t="shared" ref="E183:E185" si="22">D183/C183*100</f>
        <v>100</v>
      </c>
      <c r="F183" s="191">
        <v>101444</v>
      </c>
      <c r="G183" s="186" t="s">
        <v>32</v>
      </c>
      <c r="H183" s="187"/>
    </row>
    <row r="184" spans="1:8" s="190" customFormat="1" x14ac:dyDescent="0.2">
      <c r="A184" s="527" t="s">
        <v>267</v>
      </c>
      <c r="B184" s="493">
        <v>100000</v>
      </c>
      <c r="C184" s="539">
        <v>482560</v>
      </c>
      <c r="D184" s="540">
        <v>482560</v>
      </c>
      <c r="E184" s="231">
        <f t="shared" si="22"/>
        <v>100</v>
      </c>
      <c r="F184" s="191">
        <v>101459</v>
      </c>
      <c r="G184" s="186" t="s">
        <v>32</v>
      </c>
      <c r="H184" s="187"/>
    </row>
    <row r="185" spans="1:8" s="190" customFormat="1" x14ac:dyDescent="0.2">
      <c r="A185" s="527" t="s">
        <v>268</v>
      </c>
      <c r="B185" s="493">
        <v>1000000</v>
      </c>
      <c r="C185" s="539">
        <v>139150</v>
      </c>
      <c r="D185" s="540">
        <v>139150</v>
      </c>
      <c r="E185" s="231">
        <f t="shared" si="22"/>
        <v>100</v>
      </c>
      <c r="F185" s="191">
        <v>101460</v>
      </c>
      <c r="G185" s="186" t="s">
        <v>32</v>
      </c>
      <c r="H185" s="187"/>
    </row>
    <row r="186" spans="1:8" s="190" customFormat="1" ht="13.5" thickBot="1" x14ac:dyDescent="0.25">
      <c r="A186" s="234" t="s">
        <v>269</v>
      </c>
      <c r="B186" s="412">
        <v>2833000</v>
      </c>
      <c r="C186" s="528">
        <v>1833000</v>
      </c>
      <c r="D186" s="529">
        <v>33840</v>
      </c>
      <c r="E186" s="235">
        <f t="shared" ref="E186" si="23">D186/C186*100</f>
        <v>1.8461538461538463</v>
      </c>
      <c r="F186" s="185">
        <v>101481</v>
      </c>
      <c r="G186" s="186" t="s">
        <v>32</v>
      </c>
      <c r="H186" s="187"/>
    </row>
    <row r="187" spans="1:8" s="197" customFormat="1" ht="13.5" thickTop="1" x14ac:dyDescent="0.2">
      <c r="B187" s="448"/>
      <c r="E187" s="198"/>
      <c r="F187" s="199"/>
      <c r="G187" s="200"/>
      <c r="H187" s="200"/>
    </row>
    <row r="188" spans="1:8" s="197" customFormat="1" ht="15.75" thickBot="1" x14ac:dyDescent="0.25">
      <c r="A188" s="201" t="s">
        <v>44</v>
      </c>
      <c r="B188" s="32"/>
      <c r="C188" s="188"/>
      <c r="D188" s="188"/>
      <c r="E188" s="202" t="s">
        <v>18</v>
      </c>
      <c r="F188" s="199"/>
      <c r="G188" s="200"/>
      <c r="H188" s="200"/>
    </row>
    <row r="189" spans="1:8" s="197" customFormat="1" ht="14.25" thickTop="1" thickBot="1" x14ac:dyDescent="0.25">
      <c r="A189" s="192" t="s">
        <v>5</v>
      </c>
      <c r="B189" s="42" t="s">
        <v>0</v>
      </c>
      <c r="C189" s="194" t="s">
        <v>1</v>
      </c>
      <c r="D189" s="195" t="s">
        <v>4</v>
      </c>
      <c r="E189" s="196" t="s">
        <v>6</v>
      </c>
      <c r="F189" s="199"/>
      <c r="G189" s="200"/>
      <c r="H189" s="200"/>
    </row>
    <row r="190" spans="1:8" s="197" customFormat="1" ht="15.75" thickTop="1" x14ac:dyDescent="0.2">
      <c r="A190" s="203" t="s">
        <v>11</v>
      </c>
      <c r="B190" s="452">
        <f>SUM(B191:B191)</f>
        <v>0</v>
      </c>
      <c r="C190" s="452">
        <f>SUM(C191:C191)</f>
        <v>66088489.939999998</v>
      </c>
      <c r="D190" s="452">
        <f>SUM(D191:D191)</f>
        <v>66088489.939999998</v>
      </c>
      <c r="E190" s="204">
        <f t="shared" ref="E190:E191" si="24">D190/C190*100</f>
        <v>100</v>
      </c>
      <c r="F190" s="199"/>
      <c r="G190" s="200"/>
      <c r="H190" s="200"/>
    </row>
    <row r="191" spans="1:8" s="197" customFormat="1" ht="13.5" thickBot="1" x14ac:dyDescent="0.25">
      <c r="A191" s="574" t="s">
        <v>168</v>
      </c>
      <c r="B191" s="407">
        <v>0</v>
      </c>
      <c r="C191" s="542">
        <v>66088489.939999998</v>
      </c>
      <c r="D191" s="542">
        <v>66088489.939999998</v>
      </c>
      <c r="E191" s="235">
        <f t="shared" si="24"/>
        <v>100</v>
      </c>
      <c r="F191" s="206" t="s">
        <v>45</v>
      </c>
      <c r="G191" s="205" t="s">
        <v>133</v>
      </c>
    </row>
    <row r="192" spans="1:8" s="197" customFormat="1" ht="13.5" thickTop="1" x14ac:dyDescent="0.2">
      <c r="E192" s="198"/>
      <c r="F192" s="206"/>
      <c r="G192" s="205"/>
      <c r="H192" s="200"/>
    </row>
    <row r="193" spans="1:12" s="188" customFormat="1" ht="15" customHeight="1" thickBot="1" x14ac:dyDescent="0.3">
      <c r="A193" s="207" t="s">
        <v>114</v>
      </c>
      <c r="E193" s="208" t="s">
        <v>18</v>
      </c>
      <c r="G193" s="209"/>
      <c r="H193" s="210"/>
    </row>
    <row r="194" spans="1:12" s="188" customFormat="1" ht="18" customHeight="1" thickTop="1" thickBot="1" x14ac:dyDescent="0.25">
      <c r="A194" s="192" t="s">
        <v>5</v>
      </c>
      <c r="B194" s="193" t="s">
        <v>0</v>
      </c>
      <c r="C194" s="194" t="s">
        <v>1</v>
      </c>
      <c r="D194" s="195" t="s">
        <v>4</v>
      </c>
      <c r="E194" s="196" t="s">
        <v>6</v>
      </c>
      <c r="G194" s="209"/>
    </row>
    <row r="195" spans="1:12" s="188" customFormat="1" ht="15.75" thickTop="1" x14ac:dyDescent="0.2">
      <c r="A195" s="211" t="s">
        <v>11</v>
      </c>
      <c r="B195" s="212">
        <f>SUM(B196:B196)</f>
        <v>1672000</v>
      </c>
      <c r="C195" s="212">
        <f>SUM(C196:C196)</f>
        <v>2598800</v>
      </c>
      <c r="D195" s="212">
        <f>SUM(D196:D196)</f>
        <v>1532602.34</v>
      </c>
      <c r="E195" s="213">
        <f>D195/C195*100</f>
        <v>58.97346236724642</v>
      </c>
      <c r="F195" s="214" t="s">
        <v>2</v>
      </c>
      <c r="G195" s="215" t="s">
        <v>34</v>
      </c>
    </row>
    <row r="196" spans="1:12" s="79" customFormat="1" ht="13.5" thickBot="1" x14ac:dyDescent="0.25">
      <c r="A196" s="173" t="s">
        <v>36</v>
      </c>
      <c r="B196" s="130">
        <v>1672000</v>
      </c>
      <c r="C196" s="134">
        <v>2598800</v>
      </c>
      <c r="D196" s="134">
        <v>1532602.34</v>
      </c>
      <c r="E196" s="131">
        <f>D196/C196*100</f>
        <v>58.97346236724642</v>
      </c>
      <c r="F196" s="117" t="s">
        <v>74</v>
      </c>
      <c r="G196" s="96"/>
      <c r="I196" s="113" t="s">
        <v>32</v>
      </c>
      <c r="J196" s="122">
        <f>SUM(B170:B186)</f>
        <v>47744000</v>
      </c>
      <c r="K196" s="122">
        <f>SUM(C170:C186)</f>
        <v>14972189.449999999</v>
      </c>
      <c r="L196" s="122">
        <f>SUM(D170:D186)</f>
        <v>5760490.1600000001</v>
      </c>
    </row>
    <row r="197" spans="1:12" s="7" customFormat="1" ht="13.5" thickTop="1" x14ac:dyDescent="0.2">
      <c r="E197" s="51"/>
      <c r="F197" s="81"/>
      <c r="G197" s="55"/>
      <c r="I197" s="118" t="s">
        <v>33</v>
      </c>
      <c r="J197" s="161">
        <f>SUM(B191:B191)</f>
        <v>0</v>
      </c>
      <c r="K197" s="161">
        <f>SUM(C191:C191)</f>
        <v>66088489.939999998</v>
      </c>
      <c r="L197" s="161">
        <f>SUM(D191:D191)</f>
        <v>66088489.939999998</v>
      </c>
    </row>
    <row r="198" spans="1:12" s="7" customFormat="1" x14ac:dyDescent="0.2">
      <c r="E198" s="51"/>
      <c r="F198" s="81"/>
      <c r="G198" s="55"/>
      <c r="I198" s="215" t="s">
        <v>34</v>
      </c>
      <c r="J198" s="494">
        <f>B196</f>
        <v>1672000</v>
      </c>
      <c r="K198" s="494">
        <f>C196</f>
        <v>2598800</v>
      </c>
      <c r="L198" s="494">
        <f>D196</f>
        <v>1532602.34</v>
      </c>
    </row>
    <row r="199" spans="1:12" s="6" customFormat="1" ht="18.75" thickBot="1" x14ac:dyDescent="0.3">
      <c r="A199" s="61" t="s">
        <v>24</v>
      </c>
      <c r="B199" s="62">
        <f>SUM(B169,B190,B195)</f>
        <v>49416000</v>
      </c>
      <c r="C199" s="62">
        <f>SUM(C169,C190,C195)</f>
        <v>83659479.390000001</v>
      </c>
      <c r="D199" s="62">
        <f>SUM(D169,D190,D195)</f>
        <v>73381582.439999998</v>
      </c>
      <c r="E199" s="63">
        <f>D199/C199*100</f>
        <v>87.714605655042433</v>
      </c>
      <c r="F199" s="102"/>
      <c r="G199" s="64"/>
      <c r="I199" s="113"/>
      <c r="J199" s="160">
        <f>SUM(J196:J198)</f>
        <v>49416000</v>
      </c>
      <c r="K199" s="160">
        <f>SUM(K196:K198)</f>
        <v>83659479.390000001</v>
      </c>
      <c r="L199" s="160">
        <f>SUM(L196:L198)</f>
        <v>73381582.439999998</v>
      </c>
    </row>
    <row r="200" spans="1:12" s="7" customFormat="1" ht="13.5" thickTop="1" x14ac:dyDescent="0.2">
      <c r="E200" s="51"/>
      <c r="F200" s="81"/>
      <c r="G200" s="55"/>
      <c r="H200" s="55"/>
    </row>
    <row r="201" spans="1:12" s="7" customFormat="1" x14ac:dyDescent="0.2">
      <c r="E201" s="51"/>
      <c r="F201" s="81"/>
      <c r="G201" s="55"/>
    </row>
    <row r="202" spans="1:12" s="7" customFormat="1" x14ac:dyDescent="0.2">
      <c r="E202" s="51"/>
      <c r="F202" s="81"/>
      <c r="G202" s="55"/>
    </row>
    <row r="203" spans="1:12" ht="15" customHeight="1" x14ac:dyDescent="0.25">
      <c r="A203" s="36" t="s">
        <v>30</v>
      </c>
    </row>
    <row r="204" spans="1:12" ht="15" customHeight="1" thickBot="1" x14ac:dyDescent="0.3">
      <c r="A204" s="39" t="s">
        <v>78</v>
      </c>
      <c r="E204" s="40" t="s">
        <v>18</v>
      </c>
    </row>
    <row r="205" spans="1:12" ht="14.25" thickTop="1" thickBot="1" x14ac:dyDescent="0.25">
      <c r="A205" s="41" t="s">
        <v>5</v>
      </c>
      <c r="B205" s="42" t="s">
        <v>0</v>
      </c>
      <c r="C205" s="43" t="s">
        <v>1</v>
      </c>
      <c r="D205" s="44" t="s">
        <v>4</v>
      </c>
      <c r="E205" s="45" t="s">
        <v>6</v>
      </c>
    </row>
    <row r="206" spans="1:12" ht="15.75" thickTop="1" x14ac:dyDescent="0.2">
      <c r="A206" s="46" t="s">
        <v>10</v>
      </c>
      <c r="B206" s="67">
        <f>SUM(B207:B219)</f>
        <v>27525000</v>
      </c>
      <c r="C206" s="67">
        <f t="shared" ref="C206:D206" si="25">SUM(C207:C219)</f>
        <v>26153887.200000003</v>
      </c>
      <c r="D206" s="67">
        <f t="shared" si="25"/>
        <v>22755227.450000003</v>
      </c>
      <c r="E206" s="77">
        <f t="shared" ref="E206:E217" si="26">D206/C206*100</f>
        <v>87.005144879572626</v>
      </c>
      <c r="F206" s="37"/>
    </row>
    <row r="207" spans="1:12" x14ac:dyDescent="0.2">
      <c r="A207" s="471" t="s">
        <v>67</v>
      </c>
      <c r="B207" s="477">
        <v>1300000</v>
      </c>
      <c r="C207" s="472">
        <v>470264.66</v>
      </c>
      <c r="D207" s="472">
        <v>470264.66</v>
      </c>
      <c r="E207" s="466">
        <f t="shared" si="26"/>
        <v>100</v>
      </c>
      <c r="F207" s="84">
        <v>100299</v>
      </c>
      <c r="G207" s="113" t="s">
        <v>32</v>
      </c>
    </row>
    <row r="208" spans="1:12" x14ac:dyDescent="0.2">
      <c r="A208" s="222" t="s">
        <v>147</v>
      </c>
      <c r="B208" s="226">
        <v>0</v>
      </c>
      <c r="C208" s="226">
        <v>229173</v>
      </c>
      <c r="D208" s="226">
        <v>229173</v>
      </c>
      <c r="E208" s="220">
        <f t="shared" si="26"/>
        <v>100</v>
      </c>
      <c r="F208" s="135">
        <v>100669</v>
      </c>
      <c r="G208" s="113" t="s">
        <v>32</v>
      </c>
    </row>
    <row r="209" spans="1:11" s="94" customFormat="1" ht="25.5" x14ac:dyDescent="0.2">
      <c r="A209" s="222" t="s">
        <v>68</v>
      </c>
      <c r="B209" s="226">
        <v>600000</v>
      </c>
      <c r="C209" s="226">
        <v>1194961.44</v>
      </c>
      <c r="D209" s="226">
        <v>1194961.44</v>
      </c>
      <c r="E209" s="220">
        <f t="shared" si="26"/>
        <v>100</v>
      </c>
      <c r="F209" s="135">
        <v>101125</v>
      </c>
      <c r="G209" s="136" t="s">
        <v>32</v>
      </c>
      <c r="H209" s="93"/>
    </row>
    <row r="210" spans="1:11" s="94" customFormat="1" x14ac:dyDescent="0.2">
      <c r="A210" s="222" t="s">
        <v>98</v>
      </c>
      <c r="B210" s="226">
        <v>12691000</v>
      </c>
      <c r="C210" s="226">
        <v>15241143.970000001</v>
      </c>
      <c r="D210" s="226">
        <v>13220092.220000001</v>
      </c>
      <c r="E210" s="220">
        <f t="shared" si="26"/>
        <v>86.739500958864042</v>
      </c>
      <c r="F210" s="135">
        <v>101175</v>
      </c>
      <c r="G210" s="136" t="s">
        <v>32</v>
      </c>
      <c r="H210" s="93"/>
    </row>
    <row r="211" spans="1:11" s="94" customFormat="1" x14ac:dyDescent="0.2">
      <c r="A211" s="222" t="s">
        <v>323</v>
      </c>
      <c r="B211" s="226">
        <v>0</v>
      </c>
      <c r="C211" s="226">
        <v>432290</v>
      </c>
      <c r="D211" s="226">
        <v>10000</v>
      </c>
      <c r="E211" s="220">
        <f t="shared" si="26"/>
        <v>2.3132619306484075</v>
      </c>
      <c r="F211" s="135">
        <v>101184</v>
      </c>
      <c r="G211" s="136" t="s">
        <v>32</v>
      </c>
      <c r="H211" s="93"/>
    </row>
    <row r="212" spans="1:11" s="94" customFormat="1" x14ac:dyDescent="0.2">
      <c r="A212" s="222" t="s">
        <v>324</v>
      </c>
      <c r="B212" s="226">
        <v>0</v>
      </c>
      <c r="C212" s="226">
        <v>490220.5</v>
      </c>
      <c r="D212" s="226">
        <v>46314.5</v>
      </c>
      <c r="E212" s="220">
        <f t="shared" si="26"/>
        <v>9.4476873162179071</v>
      </c>
      <c r="F212" s="135">
        <v>101185</v>
      </c>
      <c r="G212" s="136" t="s">
        <v>32</v>
      </c>
      <c r="H212" s="93"/>
    </row>
    <row r="213" spans="1:11" s="94" customFormat="1" x14ac:dyDescent="0.2">
      <c r="A213" s="222" t="s">
        <v>99</v>
      </c>
      <c r="B213" s="226">
        <v>0</v>
      </c>
      <c r="C213" s="226">
        <v>72600</v>
      </c>
      <c r="D213" s="226">
        <v>0</v>
      </c>
      <c r="E213" s="220">
        <f t="shared" si="26"/>
        <v>0</v>
      </c>
      <c r="F213" s="135">
        <v>101186</v>
      </c>
      <c r="G213" s="136" t="s">
        <v>32</v>
      </c>
      <c r="H213" s="93"/>
    </row>
    <row r="214" spans="1:11" s="94" customFormat="1" x14ac:dyDescent="0.2">
      <c r="A214" s="222" t="s">
        <v>148</v>
      </c>
      <c r="B214" s="218">
        <v>0</v>
      </c>
      <c r="C214" s="218">
        <v>21538</v>
      </c>
      <c r="D214" s="218">
        <v>21538</v>
      </c>
      <c r="E214" s="220">
        <f t="shared" si="26"/>
        <v>100</v>
      </c>
      <c r="F214" s="135">
        <v>101324</v>
      </c>
      <c r="G214" s="113" t="s">
        <v>32</v>
      </c>
      <c r="H214" s="178"/>
    </row>
    <row r="215" spans="1:11" s="94" customFormat="1" x14ac:dyDescent="0.2">
      <c r="A215" s="488" t="s">
        <v>325</v>
      </c>
      <c r="B215" s="489">
        <v>2700000</v>
      </c>
      <c r="C215" s="489">
        <v>84700</v>
      </c>
      <c r="D215" s="489">
        <v>84700</v>
      </c>
      <c r="E215" s="490">
        <f t="shared" si="26"/>
        <v>100</v>
      </c>
      <c r="F215" s="135">
        <v>101457</v>
      </c>
      <c r="G215" s="113" t="s">
        <v>32</v>
      </c>
      <c r="H215" s="178"/>
    </row>
    <row r="216" spans="1:11" x14ac:dyDescent="0.2">
      <c r="A216" s="491" t="s">
        <v>296</v>
      </c>
      <c r="B216" s="492">
        <v>4692000</v>
      </c>
      <c r="C216" s="493">
        <f>5003144.96+33516</f>
        <v>5036660.96</v>
      </c>
      <c r="D216" s="493">
        <v>5036660.96</v>
      </c>
      <c r="E216" s="490">
        <f>D216/C216*100</f>
        <v>100</v>
      </c>
      <c r="F216" s="84">
        <v>101458</v>
      </c>
      <c r="G216" s="113" t="s">
        <v>374</v>
      </c>
    </row>
    <row r="217" spans="1:11" s="94" customFormat="1" x14ac:dyDescent="0.2">
      <c r="A217" s="488" t="s">
        <v>326</v>
      </c>
      <c r="B217" s="489">
        <v>600000</v>
      </c>
      <c r="C217" s="489">
        <v>443462</v>
      </c>
      <c r="D217" s="489">
        <v>201450</v>
      </c>
      <c r="E217" s="490">
        <f t="shared" si="26"/>
        <v>45.42666564440696</v>
      </c>
      <c r="F217" s="135">
        <v>101482</v>
      </c>
      <c r="G217" s="113" t="s">
        <v>32</v>
      </c>
      <c r="H217" s="178"/>
    </row>
    <row r="218" spans="1:11" s="94" customFormat="1" x14ac:dyDescent="0.2">
      <c r="A218" s="222" t="s">
        <v>327</v>
      </c>
      <c r="B218" s="218">
        <v>600000</v>
      </c>
      <c r="C218" s="218">
        <v>0</v>
      </c>
      <c r="D218" s="218">
        <v>0</v>
      </c>
      <c r="E218" s="220">
        <v>0</v>
      </c>
      <c r="F218" s="135">
        <v>101484</v>
      </c>
      <c r="G218" s="113" t="s">
        <v>32</v>
      </c>
      <c r="H218" s="178"/>
    </row>
    <row r="219" spans="1:11" ht="13.5" thickBot="1" x14ac:dyDescent="0.25">
      <c r="A219" s="565" t="s">
        <v>297</v>
      </c>
      <c r="B219" s="414">
        <v>4342000</v>
      </c>
      <c r="C219" s="412">
        <v>2436872.67</v>
      </c>
      <c r="D219" s="412">
        <v>2240072.67</v>
      </c>
      <c r="E219" s="225">
        <f>D219/C219*100</f>
        <v>91.924075376494741</v>
      </c>
      <c r="F219" s="84">
        <v>101485</v>
      </c>
      <c r="G219" s="113" t="s">
        <v>330</v>
      </c>
    </row>
    <row r="220" spans="1:11" s="7" customFormat="1" ht="13.5" thickTop="1" x14ac:dyDescent="0.2">
      <c r="A220" s="559"/>
      <c r="B220" s="111"/>
      <c r="C220" s="111"/>
      <c r="D220" s="111"/>
      <c r="E220" s="51"/>
      <c r="F220" s="81"/>
      <c r="G220" s="55"/>
      <c r="H220" s="55"/>
    </row>
    <row r="221" spans="1:11" s="7" customFormat="1" ht="15.75" thickBot="1" x14ac:dyDescent="0.25">
      <c r="A221" s="56" t="s">
        <v>29</v>
      </c>
      <c r="B221" s="5"/>
      <c r="C221" s="5"/>
      <c r="D221" s="5"/>
      <c r="E221" s="147" t="s">
        <v>18</v>
      </c>
      <c r="F221" s="81"/>
      <c r="G221" s="55"/>
      <c r="H221" s="118"/>
      <c r="I221" s="123"/>
      <c r="J221" s="123"/>
      <c r="K221" s="123"/>
    </row>
    <row r="222" spans="1:11" s="6" customFormat="1" ht="19.5" thickTop="1" thickBot="1" x14ac:dyDescent="0.3">
      <c r="A222" s="41" t="s">
        <v>5</v>
      </c>
      <c r="B222" s="42" t="s">
        <v>0</v>
      </c>
      <c r="C222" s="43" t="s">
        <v>1</v>
      </c>
      <c r="D222" s="44" t="s">
        <v>4</v>
      </c>
      <c r="E222" s="45" t="s">
        <v>6</v>
      </c>
      <c r="F222" s="29"/>
      <c r="G222" s="64"/>
      <c r="H222" s="64"/>
    </row>
    <row r="223" spans="1:11" s="7" customFormat="1" ht="15.75" thickTop="1" x14ac:dyDescent="0.2">
      <c r="A223" s="148" t="s">
        <v>10</v>
      </c>
      <c r="B223" s="109">
        <f>SUM(B224:B228)</f>
        <v>55308000</v>
      </c>
      <c r="C223" s="109">
        <f>SUM(C224:C228)</f>
        <v>41198341.100000001</v>
      </c>
      <c r="D223" s="109">
        <f>SUM(D224:D228)</f>
        <v>34192465.900000006</v>
      </c>
      <c r="E223" s="149">
        <f>D223/C223*100</f>
        <v>82.99476383528463</v>
      </c>
      <c r="F223" s="81"/>
      <c r="G223" s="55"/>
      <c r="H223" s="55"/>
    </row>
    <row r="224" spans="1:11" ht="25.5" x14ac:dyDescent="0.2">
      <c r="A224" s="469" t="s">
        <v>318</v>
      </c>
      <c r="B224" s="575">
        <v>0</v>
      </c>
      <c r="C224" s="470">
        <v>1200000</v>
      </c>
      <c r="D224" s="470">
        <v>1194124.8</v>
      </c>
      <c r="E224" s="466">
        <f>D224/C224*100</f>
        <v>99.510400000000004</v>
      </c>
      <c r="F224" s="84">
        <v>0</v>
      </c>
      <c r="G224" s="401" t="s">
        <v>328</v>
      </c>
    </row>
    <row r="225" spans="1:12" s="7" customFormat="1" x14ac:dyDescent="0.2">
      <c r="A225" s="236" t="s">
        <v>371</v>
      </c>
      <c r="B225" s="218">
        <v>140000</v>
      </c>
      <c r="C225" s="218">
        <v>140000</v>
      </c>
      <c r="D225" s="218">
        <v>140000</v>
      </c>
      <c r="E225" s="220">
        <f t="shared" ref="E225:E228" si="27">D225/C225*100</f>
        <v>100</v>
      </c>
      <c r="F225" s="81">
        <v>1702</v>
      </c>
      <c r="G225" s="401" t="s">
        <v>290</v>
      </c>
      <c r="H225" s="55"/>
    </row>
    <row r="226" spans="1:12" s="7" customFormat="1" x14ac:dyDescent="0.2">
      <c r="A226" s="236" t="s">
        <v>169</v>
      </c>
      <c r="B226" s="218">
        <v>4500000</v>
      </c>
      <c r="C226" s="218">
        <f>8695000+4083750</f>
        <v>12778750</v>
      </c>
      <c r="D226" s="218">
        <f>8695000+4083750</f>
        <v>12778750</v>
      </c>
      <c r="E226" s="220">
        <f t="shared" si="27"/>
        <v>100</v>
      </c>
      <c r="F226" s="81">
        <v>1700</v>
      </c>
      <c r="G226" s="401" t="s">
        <v>289</v>
      </c>
      <c r="H226" s="55"/>
    </row>
    <row r="227" spans="1:12" s="7" customFormat="1" x14ac:dyDescent="0.2">
      <c r="A227" s="491" t="s">
        <v>237</v>
      </c>
      <c r="B227" s="489">
        <v>877000</v>
      </c>
      <c r="C227" s="489">
        <v>877000</v>
      </c>
      <c r="D227" s="489">
        <v>877000</v>
      </c>
      <c r="E227" s="490">
        <f t="shared" si="27"/>
        <v>100</v>
      </c>
      <c r="F227" s="81">
        <v>1702</v>
      </c>
      <c r="G227" s="401" t="s">
        <v>289</v>
      </c>
      <c r="H227" s="55"/>
    </row>
    <row r="228" spans="1:12" s="7" customFormat="1" ht="13.5" thickBot="1" x14ac:dyDescent="0.25">
      <c r="A228" s="228" t="s">
        <v>170</v>
      </c>
      <c r="B228" s="407">
        <v>49791000</v>
      </c>
      <c r="C228" s="407">
        <f>7000000+19202591.1</f>
        <v>26202591.100000001</v>
      </c>
      <c r="D228" s="407">
        <v>19202591.100000001</v>
      </c>
      <c r="E228" s="225">
        <f t="shared" si="27"/>
        <v>73.285084771635439</v>
      </c>
      <c r="F228" s="81">
        <v>1704</v>
      </c>
      <c r="G228" s="401" t="s">
        <v>289</v>
      </c>
      <c r="H228" s="55"/>
    </row>
    <row r="229" spans="1:12" s="7" customFormat="1" ht="13.5" thickTop="1" x14ac:dyDescent="0.2">
      <c r="A229" s="427"/>
      <c r="B229" s="111"/>
      <c r="C229" s="111"/>
      <c r="D229" s="111"/>
      <c r="E229" s="51"/>
      <c r="F229" s="81"/>
      <c r="G229" s="401"/>
      <c r="H229" s="55"/>
      <c r="I229" s="113" t="s">
        <v>32</v>
      </c>
      <c r="J229" s="122">
        <f>SUM(B207:B219)</f>
        <v>27525000</v>
      </c>
      <c r="K229" s="122">
        <f t="shared" ref="K229:L229" si="28">SUM(C207:C219)</f>
        <v>26153887.200000003</v>
      </c>
      <c r="L229" s="122">
        <f t="shared" si="28"/>
        <v>22755227.450000003</v>
      </c>
    </row>
    <row r="230" spans="1:12" s="7" customFormat="1" x14ac:dyDescent="0.2">
      <c r="B230" s="91"/>
      <c r="C230" s="91"/>
      <c r="D230" s="91"/>
      <c r="E230" s="51"/>
      <c r="F230" s="81"/>
      <c r="G230" s="55"/>
      <c r="H230" s="55"/>
      <c r="I230" s="118" t="s">
        <v>33</v>
      </c>
      <c r="J230" s="161">
        <f>SUM(B224:B228)</f>
        <v>55308000</v>
      </c>
      <c r="K230" s="161">
        <f>SUM(C224:C228)</f>
        <v>41198341.100000001</v>
      </c>
      <c r="L230" s="161">
        <f>SUM(D224:D228)</f>
        <v>34192465.900000006</v>
      </c>
    </row>
    <row r="231" spans="1:12" s="7" customFormat="1" ht="18.75" thickBot="1" x14ac:dyDescent="0.25">
      <c r="A231" s="61" t="s">
        <v>23</v>
      </c>
      <c r="B231" s="62">
        <f>SUM(B206,B223)</f>
        <v>82833000</v>
      </c>
      <c r="C231" s="62">
        <f>SUM(C206,C223)</f>
        <v>67352228.300000012</v>
      </c>
      <c r="D231" s="62">
        <f>SUM(D206,D223)</f>
        <v>56947693.350000009</v>
      </c>
      <c r="E231" s="63">
        <f>D231/C231*100</f>
        <v>84.552055347514028</v>
      </c>
      <c r="F231" s="81"/>
      <c r="G231" s="55"/>
      <c r="H231" s="55"/>
      <c r="J231" s="160">
        <f>SUM(J229:J230)</f>
        <v>82833000</v>
      </c>
      <c r="K231" s="160">
        <f>SUM(K229:K230)</f>
        <v>67352228.300000012</v>
      </c>
      <c r="L231" s="160">
        <f>SUM(L229:L230)</f>
        <v>56947693.350000009</v>
      </c>
    </row>
    <row r="232" spans="1:12" s="7" customFormat="1" ht="13.5" thickTop="1" x14ac:dyDescent="0.2">
      <c r="E232" s="51"/>
      <c r="F232" s="81"/>
      <c r="G232" s="55"/>
      <c r="H232" s="55"/>
    </row>
    <row r="233" spans="1:12" s="7" customFormat="1" x14ac:dyDescent="0.2">
      <c r="E233" s="51"/>
      <c r="F233" s="81"/>
      <c r="G233" s="55"/>
      <c r="H233" s="55"/>
    </row>
    <row r="234" spans="1:12" ht="18" x14ac:dyDescent="0.25">
      <c r="A234" s="36" t="s">
        <v>333</v>
      </c>
      <c r="F234" s="37"/>
    </row>
    <row r="235" spans="1:12" s="59" customFormat="1" ht="15.75" thickBot="1" x14ac:dyDescent="0.3">
      <c r="A235" s="39" t="s">
        <v>40</v>
      </c>
      <c r="B235" s="5"/>
      <c r="C235" s="5"/>
      <c r="D235" s="5"/>
      <c r="E235" s="40" t="s">
        <v>18</v>
      </c>
      <c r="F235" s="85"/>
      <c r="G235" s="485"/>
      <c r="H235" s="58"/>
    </row>
    <row r="236" spans="1:12" ht="14.25" thickTop="1" thickBot="1" x14ac:dyDescent="0.25">
      <c r="A236" s="41" t="s">
        <v>5</v>
      </c>
      <c r="B236" s="42" t="s">
        <v>0</v>
      </c>
      <c r="C236" s="43" t="s">
        <v>1</v>
      </c>
      <c r="D236" s="44" t="s">
        <v>4</v>
      </c>
      <c r="E236" s="45" t="s">
        <v>6</v>
      </c>
      <c r="F236" s="37"/>
    </row>
    <row r="237" spans="1:12" ht="15.75" thickTop="1" x14ac:dyDescent="0.2">
      <c r="A237" s="478" t="s">
        <v>56</v>
      </c>
      <c r="B237" s="479">
        <f>SUM(B238:B238)</f>
        <v>650000</v>
      </c>
      <c r="C237" s="479">
        <f>SUM(C238:C238)</f>
        <v>3001425</v>
      </c>
      <c r="D237" s="479">
        <f>SUM(D238:D238)</f>
        <v>2122721.21</v>
      </c>
      <c r="E237" s="480">
        <f>D237/C237*100</f>
        <v>70.723779871227833</v>
      </c>
      <c r="F237" s="37"/>
      <c r="G237" s="55" t="s">
        <v>247</v>
      </c>
    </row>
    <row r="238" spans="1:12" ht="51" x14ac:dyDescent="0.2">
      <c r="A238" s="469" t="s">
        <v>331</v>
      </c>
      <c r="B238" s="465">
        <v>650000</v>
      </c>
      <c r="C238" s="465">
        <v>3001425</v>
      </c>
      <c r="D238" s="465">
        <v>2122721.21</v>
      </c>
      <c r="E238" s="466">
        <f t="shared" ref="E238" si="29">D238/C238*100</f>
        <v>70.723779871227833</v>
      </c>
      <c r="F238" s="37"/>
      <c r="G238" s="139"/>
    </row>
    <row r="239" spans="1:12" ht="15" x14ac:dyDescent="0.25">
      <c r="A239" s="478" t="s">
        <v>135</v>
      </c>
      <c r="B239" s="547">
        <f>SUM(B240:B240)</f>
        <v>2000000</v>
      </c>
      <c r="C239" s="479">
        <f>SUM(C240:C240)</f>
        <v>5419832.8700000001</v>
      </c>
      <c r="D239" s="479">
        <f>SUM(D240:D240)</f>
        <v>5419832</v>
      </c>
      <c r="E239" s="480">
        <f>D239/C239*100</f>
        <v>99.999983947844498</v>
      </c>
      <c r="F239" s="37"/>
      <c r="G239" s="55" t="s">
        <v>134</v>
      </c>
      <c r="H239" s="55"/>
      <c r="I239" s="106"/>
      <c r="J239" s="121"/>
      <c r="K239" s="121"/>
      <c r="L239" s="121"/>
    </row>
    <row r="240" spans="1:12" ht="52.5" thickBot="1" x14ac:dyDescent="0.3">
      <c r="A240" s="534" t="s">
        <v>332</v>
      </c>
      <c r="B240" s="576">
        <v>2000000</v>
      </c>
      <c r="C240" s="576">
        <v>5419832.8700000001</v>
      </c>
      <c r="D240" s="576">
        <v>5419832</v>
      </c>
      <c r="E240" s="131">
        <f t="shared" ref="E240" si="30">D240/C240*100</f>
        <v>99.999983947844498</v>
      </c>
      <c r="F240" s="37"/>
      <c r="G240" s="183"/>
      <c r="H240" s="55"/>
      <c r="I240" s="106"/>
      <c r="J240" s="121"/>
      <c r="K240" s="121"/>
      <c r="L240" s="121"/>
    </row>
    <row r="241" spans="1:12" ht="13.5" thickTop="1" x14ac:dyDescent="0.2">
      <c r="A241" s="65"/>
      <c r="B241" s="66"/>
      <c r="C241" s="66"/>
      <c r="D241" s="66"/>
      <c r="E241" s="51"/>
      <c r="G241" s="55"/>
      <c r="H241" s="55"/>
    </row>
    <row r="242" spans="1:12" x14ac:dyDescent="0.2">
      <c r="A242" s="65"/>
      <c r="B242" s="66"/>
      <c r="C242" s="66"/>
      <c r="D242" s="66"/>
      <c r="E242" s="51"/>
      <c r="G242" s="55"/>
      <c r="H242" s="55"/>
      <c r="I242" s="38" t="s">
        <v>248</v>
      </c>
      <c r="J242" s="4">
        <f>B237</f>
        <v>650000</v>
      </c>
      <c r="K242" s="4">
        <f>C237</f>
        <v>3001425</v>
      </c>
      <c r="L242" s="4">
        <f>D237</f>
        <v>2122721.21</v>
      </c>
    </row>
    <row r="243" spans="1:12" x14ac:dyDescent="0.2">
      <c r="A243" s="65"/>
      <c r="B243" s="66"/>
      <c r="C243" s="66"/>
      <c r="D243" s="66"/>
      <c r="E243" s="51"/>
      <c r="G243" s="55"/>
      <c r="H243" s="55"/>
      <c r="I243" s="38" t="s">
        <v>249</v>
      </c>
      <c r="J243" s="4">
        <f>B239</f>
        <v>2000000</v>
      </c>
      <c r="K243" s="4">
        <f>C239</f>
        <v>5419832.8700000001</v>
      </c>
      <c r="L243" s="4">
        <f>D239</f>
        <v>5419832</v>
      </c>
    </row>
    <row r="244" spans="1:12" ht="18.75" thickBot="1" x14ac:dyDescent="0.3">
      <c r="A244" s="61" t="s">
        <v>115</v>
      </c>
      <c r="B244" s="62">
        <f>SUM(B237,B239)</f>
        <v>2650000</v>
      </c>
      <c r="C244" s="62">
        <f>SUM(C237,C239)</f>
        <v>8421257.870000001</v>
      </c>
      <c r="D244" s="62">
        <f>SUM(D237,D239)</f>
        <v>7542553.21</v>
      </c>
      <c r="E244" s="63">
        <f>D244/C244*100</f>
        <v>89.565636469460102</v>
      </c>
      <c r="G244" s="55"/>
      <c r="H244" s="55"/>
      <c r="I244" s="106"/>
      <c r="J244" s="121">
        <f>SUM(J242:J243)</f>
        <v>2650000</v>
      </c>
      <c r="K244" s="121">
        <f>SUM(K242:K243)</f>
        <v>8421257.870000001</v>
      </c>
      <c r="L244" s="121">
        <f>SUM(L242:L243)</f>
        <v>7542553.21</v>
      </c>
    </row>
    <row r="245" spans="1:12" ht="18.75" thickTop="1" x14ac:dyDescent="0.2">
      <c r="A245" s="144"/>
      <c r="B245" s="145"/>
      <c r="C245" s="145"/>
      <c r="D245" s="145"/>
      <c r="E245" s="146"/>
      <c r="G245" s="55"/>
      <c r="H245" s="55"/>
    </row>
    <row r="246" spans="1:12" x14ac:dyDescent="0.2">
      <c r="B246" s="4"/>
      <c r="F246" s="98"/>
      <c r="G246" s="55"/>
      <c r="H246" s="55"/>
    </row>
    <row r="247" spans="1:12" ht="14.25" x14ac:dyDescent="0.2">
      <c r="A247" s="69" t="s">
        <v>12</v>
      </c>
      <c r="B247" s="69"/>
      <c r="C247" s="69"/>
      <c r="D247" s="69"/>
      <c r="E247" s="70"/>
      <c r="F247" s="99"/>
      <c r="G247" s="55"/>
      <c r="H247" s="55"/>
    </row>
    <row r="248" spans="1:12" ht="14.25" x14ac:dyDescent="0.2">
      <c r="A248" s="71" t="s">
        <v>16</v>
      </c>
      <c r="B248" s="72">
        <f>SUM(B86)</f>
        <v>84810000</v>
      </c>
      <c r="C248" s="72">
        <f>SUM(C86)</f>
        <v>111920899.54000001</v>
      </c>
      <c r="D248" s="72">
        <f>SUM(D86)</f>
        <v>109394597.5</v>
      </c>
      <c r="E248" s="73">
        <f t="shared" ref="E248:E254" si="31">D248/C248*100</f>
        <v>97.742779006974374</v>
      </c>
      <c r="F248" s="100"/>
      <c r="G248" s="55"/>
      <c r="H248" s="55"/>
    </row>
    <row r="249" spans="1:12" ht="14.25" x14ac:dyDescent="0.2">
      <c r="A249" s="71" t="s">
        <v>15</v>
      </c>
      <c r="B249" s="72">
        <f>SUM(B137)</f>
        <v>74390000</v>
      </c>
      <c r="C249" s="72">
        <f>SUM(C137)</f>
        <v>96602990.669999987</v>
      </c>
      <c r="D249" s="72">
        <f>SUM(D137)</f>
        <v>85853703.169999972</v>
      </c>
      <c r="E249" s="73">
        <f t="shared" si="31"/>
        <v>88.872717681463882</v>
      </c>
      <c r="F249" s="101"/>
      <c r="G249" s="55"/>
      <c r="H249" s="55"/>
    </row>
    <row r="250" spans="1:12" ht="14.25" x14ac:dyDescent="0.2">
      <c r="A250" s="71" t="s">
        <v>17</v>
      </c>
      <c r="B250" s="72">
        <f>SUM(B163)</f>
        <v>76010000</v>
      </c>
      <c r="C250" s="72">
        <f>SUM(C163)</f>
        <v>65804456.150000006</v>
      </c>
      <c r="D250" s="72">
        <f>SUM(D163)</f>
        <v>50170619.38000001</v>
      </c>
      <c r="E250" s="73">
        <f t="shared" si="31"/>
        <v>76.241978606489866</v>
      </c>
      <c r="G250" s="55"/>
      <c r="H250" s="55"/>
    </row>
    <row r="251" spans="1:12" ht="14.25" x14ac:dyDescent="0.2">
      <c r="A251" s="71" t="s">
        <v>13</v>
      </c>
      <c r="B251" s="72">
        <f>SUM(B199)</f>
        <v>49416000</v>
      </c>
      <c r="C251" s="72">
        <f>SUM(C199)</f>
        <v>83659479.390000001</v>
      </c>
      <c r="D251" s="72">
        <f>SUM(D199)</f>
        <v>73381582.439999998</v>
      </c>
      <c r="E251" s="73">
        <f t="shared" si="31"/>
        <v>87.714605655042433</v>
      </c>
      <c r="G251" s="55"/>
      <c r="H251" s="55"/>
    </row>
    <row r="252" spans="1:12" ht="14.25" x14ac:dyDescent="0.2">
      <c r="A252" s="71" t="s">
        <v>14</v>
      </c>
      <c r="B252" s="72">
        <f>SUM(B231)</f>
        <v>82833000</v>
      </c>
      <c r="C252" s="72">
        <f>SUM(C231)</f>
        <v>67352228.300000012</v>
      </c>
      <c r="D252" s="72">
        <f>SUM(D231)</f>
        <v>56947693.350000009</v>
      </c>
      <c r="E252" s="73">
        <f t="shared" si="31"/>
        <v>84.552055347514028</v>
      </c>
      <c r="G252" s="55"/>
      <c r="H252" s="55"/>
    </row>
    <row r="253" spans="1:12" ht="14.25" x14ac:dyDescent="0.2">
      <c r="A253" s="71" t="s">
        <v>46</v>
      </c>
      <c r="B253" s="72">
        <f>SUM(B244)</f>
        <v>2650000</v>
      </c>
      <c r="C253" s="72">
        <f>SUM(C244)</f>
        <v>8421257.870000001</v>
      </c>
      <c r="D253" s="72">
        <f>SUM(D244)</f>
        <v>7542553.21</v>
      </c>
      <c r="E253" s="73">
        <f t="shared" si="31"/>
        <v>89.565636469460102</v>
      </c>
    </row>
    <row r="254" spans="1:12" ht="15.75" thickBot="1" x14ac:dyDescent="0.25">
      <c r="A254" s="74" t="s">
        <v>3</v>
      </c>
      <c r="B254" s="75">
        <f>SUM(B248:B253)</f>
        <v>370109000</v>
      </c>
      <c r="C254" s="75">
        <f>SUM(C248:C253)</f>
        <v>433761311.92000002</v>
      </c>
      <c r="D254" s="75">
        <f>SUM(D248:D253)</f>
        <v>383290749.04999995</v>
      </c>
      <c r="E254" s="76">
        <f t="shared" si="31"/>
        <v>88.364438809307984</v>
      </c>
    </row>
    <row r="255" spans="1:12" ht="13.5" thickTop="1" x14ac:dyDescent="0.2">
      <c r="F255" s="1"/>
      <c r="G255" s="1"/>
      <c r="H255" s="126"/>
    </row>
    <row r="256" spans="1:12" x14ac:dyDescent="0.2">
      <c r="F256" s="1"/>
      <c r="G256" s="1"/>
    </row>
    <row r="257" spans="1:12" ht="15" x14ac:dyDescent="0.25">
      <c r="F257" s="1"/>
      <c r="G257" s="1"/>
      <c r="I257" s="38"/>
      <c r="J257" s="121"/>
      <c r="K257" s="121"/>
      <c r="L257" s="121"/>
    </row>
    <row r="258" spans="1:12" x14ac:dyDescent="0.2">
      <c r="A258" s="120"/>
      <c r="B258" s="167"/>
      <c r="C258" s="167"/>
      <c r="D258" s="167"/>
      <c r="E258" s="2"/>
      <c r="F258" s="1"/>
      <c r="G258" s="1"/>
      <c r="I258" s="124" t="s">
        <v>34</v>
      </c>
      <c r="J258" s="125">
        <f>J83+J198+J134</f>
        <v>1672000</v>
      </c>
      <c r="K258" s="125">
        <f>K83+K198+K134</f>
        <v>3909000</v>
      </c>
      <c r="L258" s="125">
        <f>L83+L198+L134</f>
        <v>2838802.34</v>
      </c>
    </row>
    <row r="259" spans="1:12" x14ac:dyDescent="0.2">
      <c r="A259" s="168"/>
      <c r="B259" s="169"/>
      <c r="C259" s="169"/>
      <c r="D259" s="169"/>
      <c r="E259" s="2"/>
      <c r="F259" s="1"/>
      <c r="G259" s="1"/>
      <c r="I259" s="113" t="s">
        <v>32</v>
      </c>
      <c r="J259" s="164">
        <f t="shared" ref="J259:L260" si="32">J229+J196+J161+J135+J84</f>
        <v>309879000</v>
      </c>
      <c r="K259" s="164">
        <f t="shared" si="32"/>
        <v>293768669.93000001</v>
      </c>
      <c r="L259" s="164">
        <f t="shared" si="32"/>
        <v>252252884.57999998</v>
      </c>
    </row>
    <row r="260" spans="1:12" x14ac:dyDescent="0.2">
      <c r="A260" s="168"/>
      <c r="B260" s="169"/>
      <c r="C260" s="169"/>
      <c r="D260" s="169"/>
      <c r="E260" s="2"/>
      <c r="F260" s="1"/>
      <c r="G260" s="1"/>
      <c r="I260" s="118" t="s">
        <v>33</v>
      </c>
      <c r="J260" s="165">
        <f t="shared" si="32"/>
        <v>55908000</v>
      </c>
      <c r="K260" s="165">
        <f t="shared" si="32"/>
        <v>127662384.11999999</v>
      </c>
      <c r="L260" s="165">
        <f t="shared" si="32"/>
        <v>120656508.92</v>
      </c>
    </row>
    <row r="261" spans="1:12" x14ac:dyDescent="0.2">
      <c r="A261" s="168"/>
      <c r="B261" s="169"/>
      <c r="C261" s="169"/>
      <c r="D261" s="169"/>
      <c r="E261" s="2"/>
      <c r="F261" s="5"/>
      <c r="G261" s="5"/>
      <c r="I261" s="38" t="s">
        <v>38</v>
      </c>
      <c r="J261" s="184">
        <f t="shared" ref="J261:L262" si="33">J242</f>
        <v>650000</v>
      </c>
      <c r="K261" s="184">
        <f t="shared" si="33"/>
        <v>3001425</v>
      </c>
      <c r="L261" s="184">
        <f t="shared" si="33"/>
        <v>2122721.21</v>
      </c>
    </row>
    <row r="262" spans="1:12" x14ac:dyDescent="0.2">
      <c r="A262" s="119"/>
      <c r="B262" s="105"/>
      <c r="C262" s="105"/>
      <c r="D262" s="105"/>
      <c r="E262" s="2"/>
      <c r="F262" s="5"/>
      <c r="G262" s="5"/>
      <c r="I262" s="38" t="s">
        <v>136</v>
      </c>
      <c r="J262" s="184">
        <f t="shared" si="33"/>
        <v>2000000</v>
      </c>
      <c r="K262" s="184">
        <f t="shared" si="33"/>
        <v>5419832.8700000001</v>
      </c>
      <c r="L262" s="184">
        <f t="shared" si="33"/>
        <v>5419832</v>
      </c>
    </row>
    <row r="263" spans="1:12" ht="15.75" x14ac:dyDescent="0.25">
      <c r="A263" s="119"/>
      <c r="B263" s="105"/>
      <c r="C263" s="105"/>
      <c r="D263" s="105"/>
      <c r="E263" s="2"/>
      <c r="F263" s="5"/>
      <c r="G263" s="5"/>
      <c r="I263" s="38"/>
      <c r="J263" s="545">
        <f>SUM(J258:J262)</f>
        <v>370109000</v>
      </c>
      <c r="K263" s="545">
        <f>SUM(K258:K262)</f>
        <v>433761311.92000002</v>
      </c>
      <c r="L263" s="545">
        <f>SUM(L258:L262)</f>
        <v>383290749.04999995</v>
      </c>
    </row>
    <row r="264" spans="1:12" x14ac:dyDescent="0.2">
      <c r="E264" s="5"/>
      <c r="F264" s="5"/>
      <c r="G264" s="5"/>
    </row>
    <row r="265" spans="1:12" x14ac:dyDescent="0.2">
      <c r="E265" s="5"/>
      <c r="F265" s="5"/>
      <c r="G265" s="5"/>
      <c r="I265" s="7"/>
      <c r="J265" s="7"/>
      <c r="K265" s="7"/>
    </row>
    <row r="266" spans="1:12" x14ac:dyDescent="0.2">
      <c r="E266" s="5"/>
      <c r="F266" s="5"/>
      <c r="G266" s="5"/>
    </row>
    <row r="267" spans="1:12" x14ac:dyDescent="0.2">
      <c r="E267" s="5"/>
      <c r="F267" s="5"/>
      <c r="G267" s="5"/>
    </row>
    <row r="268" spans="1:12" x14ac:dyDescent="0.2">
      <c r="E268" s="5"/>
    </row>
    <row r="269" spans="1:12" x14ac:dyDescent="0.2">
      <c r="E269" s="5"/>
    </row>
    <row r="270" spans="1:12" x14ac:dyDescent="0.2">
      <c r="E270" s="5"/>
    </row>
  </sheetData>
  <pageMargins left="0.78740157480314965" right="0.78740157480314965" top="0.98425196850393704" bottom="0.98425196850393704" header="0.51181102362204722" footer="0.51181102362204722"/>
  <pageSetup paperSize="9" scale="53" firstPageNumber="169" fitToHeight="5" orientation="portrait" useFirstPageNumber="1" r:id="rId1"/>
  <headerFooter alignWithMargins="0"/>
  <rowBreaks count="5" manualBreakCount="5">
    <brk id="47" max="3" man="1"/>
    <brk id="87" max="3" man="1"/>
    <brk id="138" max="3" man="1"/>
    <brk id="202" max="3" man="1"/>
    <brk id="259" max="4" man="1"/>
  </rowBreaks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92"/>
  <sheetViews>
    <sheetView showGridLines="0" view="pageBreakPreview" topLeftCell="A88" zoomScaleNormal="100" zoomScaleSheetLayoutView="100" workbookViewId="0">
      <selection activeCell="D32" sqref="D32"/>
    </sheetView>
  </sheetViews>
  <sheetFormatPr defaultColWidth="9.140625" defaultRowHeight="12.75" x14ac:dyDescent="0.2"/>
  <cols>
    <col min="1" max="1" width="77.7109375" style="246" customWidth="1"/>
    <col min="2" max="2" width="17.140625" style="246" customWidth="1"/>
    <col min="3" max="3" width="19.85546875" style="246" customWidth="1"/>
    <col min="4" max="4" width="19.7109375" style="246" customWidth="1"/>
    <col min="5" max="5" width="7.5703125" style="247" customWidth="1"/>
    <col min="6" max="6" width="9.28515625" style="248" customWidth="1"/>
    <col min="7" max="7" width="19.140625" style="249" customWidth="1"/>
    <col min="8" max="8" width="15.42578125" style="249" customWidth="1"/>
    <col min="9" max="9" width="23.28515625" style="246" customWidth="1"/>
    <col min="10" max="10" width="18.28515625" style="246" customWidth="1"/>
    <col min="11" max="11" width="20.7109375" style="246" customWidth="1"/>
    <col min="12" max="12" width="17.5703125" style="246" customWidth="1"/>
    <col min="13" max="13" width="9.140625" style="246"/>
    <col min="14" max="14" width="19" style="246" customWidth="1"/>
    <col min="15" max="15" width="15.42578125" style="246" customWidth="1"/>
    <col min="16" max="16384" width="9.140625" style="246"/>
  </cols>
  <sheetData>
    <row r="1" spans="1:11" s="242" customFormat="1" ht="18" x14ac:dyDescent="0.25">
      <c r="A1" s="238" t="s">
        <v>281</v>
      </c>
      <c r="B1" s="238"/>
      <c r="C1" s="238"/>
      <c r="D1" s="238"/>
      <c r="E1" s="238"/>
      <c r="F1" s="239"/>
      <c r="G1" s="240"/>
      <c r="H1" s="241"/>
    </row>
    <row r="2" spans="1:11" s="245" customFormat="1" ht="15.75" x14ac:dyDescent="0.25">
      <c r="A2" s="243" t="s">
        <v>119</v>
      </c>
      <c r="B2" s="244"/>
      <c r="C2" s="244"/>
      <c r="D2" s="244"/>
      <c r="E2" s="244"/>
      <c r="F2" s="239"/>
      <c r="G2" s="240"/>
      <c r="H2" s="241"/>
    </row>
    <row r="3" spans="1:11" ht="12" customHeight="1" x14ac:dyDescent="0.2">
      <c r="B3" s="242"/>
    </row>
    <row r="4" spans="1:11" ht="15" customHeight="1" x14ac:dyDescent="0.25">
      <c r="A4" s="250" t="s">
        <v>19</v>
      </c>
      <c r="B4" s="242"/>
    </row>
    <row r="5" spans="1:11" ht="15.75" thickBot="1" x14ac:dyDescent="0.3">
      <c r="A5" s="251" t="s">
        <v>84</v>
      </c>
      <c r="B5" s="242"/>
      <c r="D5" s="252"/>
      <c r="E5" s="253" t="s">
        <v>18</v>
      </c>
    </row>
    <row r="6" spans="1:11" ht="14.25" thickTop="1" thickBot="1" x14ac:dyDescent="0.25">
      <c r="A6" s="254" t="s">
        <v>5</v>
      </c>
      <c r="B6" s="255" t="s">
        <v>0</v>
      </c>
      <c r="C6" s="256" t="s">
        <v>1</v>
      </c>
      <c r="D6" s="257" t="s">
        <v>4</v>
      </c>
      <c r="E6" s="258" t="s">
        <v>6</v>
      </c>
    </row>
    <row r="7" spans="1:11" ht="15.75" thickTop="1" x14ac:dyDescent="0.25">
      <c r="A7" s="313" t="s">
        <v>7</v>
      </c>
      <c r="B7" s="314">
        <f>SUM(B8:B22)</f>
        <v>29240000</v>
      </c>
      <c r="C7" s="314">
        <f>SUM(C8:C22)</f>
        <v>29930994.539999999</v>
      </c>
      <c r="D7" s="314">
        <f>SUM(D8:D22)</f>
        <v>24042148.629999999</v>
      </c>
      <c r="E7" s="579">
        <f>D7/C7*100</f>
        <v>80.325258146266734</v>
      </c>
      <c r="H7" s="262"/>
      <c r="I7" s="263"/>
      <c r="J7" s="264"/>
      <c r="K7" s="265"/>
    </row>
    <row r="8" spans="1:11" x14ac:dyDescent="0.2">
      <c r="A8" s="567" t="s">
        <v>85</v>
      </c>
      <c r="B8" s="455">
        <v>0</v>
      </c>
      <c r="C8" s="580">
        <v>455565.37</v>
      </c>
      <c r="D8" s="580">
        <v>455565</v>
      </c>
      <c r="E8" s="268">
        <f t="shared" ref="E8" si="0">D8/C8*100</f>
        <v>99.999918782237557</v>
      </c>
      <c r="F8" s="248">
        <v>100661</v>
      </c>
      <c r="G8" s="266" t="s">
        <v>86</v>
      </c>
      <c r="H8" s="262"/>
      <c r="I8" s="263"/>
      <c r="J8" s="264"/>
      <c r="K8" s="265"/>
    </row>
    <row r="9" spans="1:11" ht="25.5" x14ac:dyDescent="0.2">
      <c r="A9" s="561" t="s">
        <v>336</v>
      </c>
      <c r="B9" s="453">
        <v>500000</v>
      </c>
      <c r="C9" s="416">
        <v>2568</v>
      </c>
      <c r="D9" s="416">
        <v>0</v>
      </c>
      <c r="E9" s="417">
        <f t="shared" ref="E9" si="1">D9/C9*100</f>
        <v>0</v>
      </c>
      <c r="F9" s="248">
        <v>101164</v>
      </c>
      <c r="G9" s="269" t="s">
        <v>86</v>
      </c>
      <c r="H9" s="262"/>
      <c r="I9" s="263"/>
      <c r="J9" s="264"/>
      <c r="K9" s="265"/>
    </row>
    <row r="10" spans="1:11" s="273" customFormat="1" x14ac:dyDescent="0.2">
      <c r="A10" s="415" t="s">
        <v>183</v>
      </c>
      <c r="B10" s="453">
        <v>0</v>
      </c>
      <c r="C10" s="418">
        <v>140627.76999999999</v>
      </c>
      <c r="D10" s="418">
        <v>29830</v>
      </c>
      <c r="E10" s="417">
        <f t="shared" ref="E10:E20" si="2">D10/C10*100</f>
        <v>21.212026614657976</v>
      </c>
      <c r="F10" s="270">
        <v>101315</v>
      </c>
      <c r="G10" s="269" t="s">
        <v>86</v>
      </c>
      <c r="H10" s="272"/>
    </row>
    <row r="11" spans="1:11" s="273" customFormat="1" x14ac:dyDescent="0.2">
      <c r="A11" s="602" t="s">
        <v>184</v>
      </c>
      <c r="B11" s="453">
        <v>733000</v>
      </c>
      <c r="C11" s="418">
        <v>319063.77</v>
      </c>
      <c r="D11" s="418">
        <v>306748.01</v>
      </c>
      <c r="E11" s="417">
        <f t="shared" si="2"/>
        <v>96.140031818717617</v>
      </c>
      <c r="F11" s="270">
        <v>101351</v>
      </c>
      <c r="G11" s="269" t="s">
        <v>86</v>
      </c>
      <c r="H11" s="272"/>
    </row>
    <row r="12" spans="1:11" s="273" customFormat="1" x14ac:dyDescent="0.2">
      <c r="A12" s="603"/>
      <c r="B12" s="453">
        <v>3868000</v>
      </c>
      <c r="C12" s="418">
        <v>1514010.94</v>
      </c>
      <c r="D12" s="418">
        <v>1403169.29</v>
      </c>
      <c r="E12" s="417">
        <f t="shared" si="2"/>
        <v>92.678939955348014</v>
      </c>
      <c r="F12" s="270">
        <v>101351</v>
      </c>
      <c r="G12" s="405" t="s">
        <v>335</v>
      </c>
      <c r="H12" s="274">
        <f t="shared" ref="H12:H20" si="3">C12-D12</f>
        <v>110841.64999999991</v>
      </c>
    </row>
    <row r="13" spans="1:11" s="273" customFormat="1" ht="25.5" customHeight="1" x14ac:dyDescent="0.2">
      <c r="A13" s="602" t="s">
        <v>223</v>
      </c>
      <c r="B13" s="453">
        <v>348000</v>
      </c>
      <c r="C13" s="418">
        <v>98673.16</v>
      </c>
      <c r="D13" s="418">
        <v>98673.16</v>
      </c>
      <c r="E13" s="417">
        <f t="shared" si="2"/>
        <v>100</v>
      </c>
      <c r="F13" s="270">
        <v>101419</v>
      </c>
      <c r="G13" s="269" t="s">
        <v>86</v>
      </c>
      <c r="H13" s="274"/>
    </row>
    <row r="14" spans="1:11" s="273" customFormat="1" x14ac:dyDescent="0.2">
      <c r="A14" s="603"/>
      <c r="B14" s="453">
        <v>1778000</v>
      </c>
      <c r="C14" s="418">
        <v>791166.41</v>
      </c>
      <c r="D14" s="418">
        <v>791166.41</v>
      </c>
      <c r="E14" s="417">
        <f t="shared" si="2"/>
        <v>100</v>
      </c>
      <c r="F14" s="270">
        <v>101419</v>
      </c>
      <c r="G14" s="405" t="s">
        <v>335</v>
      </c>
      <c r="H14" s="274">
        <f t="shared" si="3"/>
        <v>0</v>
      </c>
    </row>
    <row r="15" spans="1:11" s="273" customFormat="1" ht="25.5" customHeight="1" x14ac:dyDescent="0.2">
      <c r="A15" s="602" t="s">
        <v>224</v>
      </c>
      <c r="B15" s="453">
        <v>1327000</v>
      </c>
      <c r="C15" s="418">
        <v>1595329.67</v>
      </c>
      <c r="D15" s="418">
        <v>1447483.38</v>
      </c>
      <c r="E15" s="417">
        <f t="shared" si="2"/>
        <v>90.732555610277089</v>
      </c>
      <c r="F15" s="270">
        <v>101420</v>
      </c>
      <c r="G15" s="269" t="s">
        <v>86</v>
      </c>
      <c r="H15" s="274"/>
    </row>
    <row r="16" spans="1:11" s="273" customFormat="1" x14ac:dyDescent="0.2">
      <c r="A16" s="603"/>
      <c r="B16" s="453">
        <v>5370000</v>
      </c>
      <c r="C16" s="418">
        <v>4188051.69</v>
      </c>
      <c r="D16" s="418">
        <v>2146224.5099999998</v>
      </c>
      <c r="E16" s="417">
        <f t="shared" si="2"/>
        <v>51.246371078099088</v>
      </c>
      <c r="F16" s="270">
        <v>101420</v>
      </c>
      <c r="G16" s="405" t="s">
        <v>335</v>
      </c>
      <c r="H16" s="274">
        <f t="shared" si="3"/>
        <v>2041827.1800000002</v>
      </c>
    </row>
    <row r="17" spans="1:12" s="273" customFormat="1" x14ac:dyDescent="0.2">
      <c r="A17" s="602" t="s">
        <v>225</v>
      </c>
      <c r="B17" s="453">
        <v>903000</v>
      </c>
      <c r="C17" s="418">
        <v>2702137.05</v>
      </c>
      <c r="D17" s="418">
        <v>2237792.48</v>
      </c>
      <c r="E17" s="417">
        <f t="shared" si="2"/>
        <v>82.815654372527121</v>
      </c>
      <c r="F17" s="270">
        <v>101422</v>
      </c>
      <c r="G17" s="269" t="s">
        <v>86</v>
      </c>
      <c r="H17" s="274"/>
    </row>
    <row r="18" spans="1:12" s="273" customFormat="1" x14ac:dyDescent="0.2">
      <c r="A18" s="603"/>
      <c r="B18" s="453">
        <v>4413000</v>
      </c>
      <c r="C18" s="418">
        <v>5032673.53</v>
      </c>
      <c r="D18" s="418">
        <v>4879548.51</v>
      </c>
      <c r="E18" s="417">
        <f t="shared" si="2"/>
        <v>96.9573822127103</v>
      </c>
      <c r="F18" s="270">
        <v>101422</v>
      </c>
      <c r="G18" s="405" t="s">
        <v>335</v>
      </c>
      <c r="H18" s="274">
        <f t="shared" si="3"/>
        <v>153125.02000000048</v>
      </c>
    </row>
    <row r="19" spans="1:12" s="273" customFormat="1" ht="25.5" customHeight="1" x14ac:dyDescent="0.2">
      <c r="A19" s="602" t="s">
        <v>226</v>
      </c>
      <c r="B19" s="453">
        <v>1453000</v>
      </c>
      <c r="C19" s="418">
        <v>3066202.37</v>
      </c>
      <c r="D19" s="418">
        <v>2726476.86</v>
      </c>
      <c r="E19" s="417">
        <f t="shared" si="2"/>
        <v>88.920316763045221</v>
      </c>
      <c r="F19" s="270">
        <v>101423</v>
      </c>
      <c r="G19" s="269" t="s">
        <v>86</v>
      </c>
      <c r="H19" s="274"/>
    </row>
    <row r="20" spans="1:12" s="273" customFormat="1" x14ac:dyDescent="0.2">
      <c r="A20" s="603"/>
      <c r="B20" s="453">
        <v>6047000</v>
      </c>
      <c r="C20" s="418">
        <v>7524924.8099999996</v>
      </c>
      <c r="D20" s="418">
        <v>5107137.58</v>
      </c>
      <c r="E20" s="417">
        <f t="shared" si="2"/>
        <v>67.869616095207206</v>
      </c>
      <c r="F20" s="270">
        <v>101423</v>
      </c>
      <c r="G20" s="405" t="s">
        <v>335</v>
      </c>
      <c r="H20" s="274">
        <f t="shared" si="3"/>
        <v>2417787.2299999995</v>
      </c>
    </row>
    <row r="21" spans="1:12" s="273" customFormat="1" x14ac:dyDescent="0.2">
      <c r="A21" s="602" t="s">
        <v>227</v>
      </c>
      <c r="B21" s="453">
        <v>250000</v>
      </c>
      <c r="C21" s="418">
        <v>250000</v>
      </c>
      <c r="D21" s="418">
        <v>241233.37</v>
      </c>
      <c r="E21" s="417">
        <f t="shared" ref="E21:E22" si="4">D21/C21*100</f>
        <v>96.493347999999997</v>
      </c>
      <c r="F21" s="270">
        <v>101355</v>
      </c>
      <c r="G21" s="531" t="s">
        <v>221</v>
      </c>
      <c r="H21" s="274"/>
    </row>
    <row r="22" spans="1:12" s="273" customFormat="1" ht="13.5" thickBot="1" x14ac:dyDescent="0.25">
      <c r="A22" s="604"/>
      <c r="B22" s="456">
        <v>2250000</v>
      </c>
      <c r="C22" s="419">
        <v>2250000</v>
      </c>
      <c r="D22" s="419">
        <v>2171100.0699999998</v>
      </c>
      <c r="E22" s="399">
        <f t="shared" si="4"/>
        <v>96.493336444444438</v>
      </c>
      <c r="F22" s="270">
        <v>101355</v>
      </c>
      <c r="G22" s="405" t="s">
        <v>302</v>
      </c>
      <c r="H22" s="274">
        <f>C22-D22</f>
        <v>78899.930000000168</v>
      </c>
    </row>
    <row r="23" spans="1:12" s="273" customFormat="1" ht="13.5" thickTop="1" x14ac:dyDescent="0.2">
      <c r="A23" s="276"/>
      <c r="B23" s="277"/>
      <c r="C23" s="278"/>
      <c r="D23" s="278"/>
      <c r="E23" s="279"/>
      <c r="F23" s="270"/>
      <c r="G23" s="275"/>
      <c r="H23" s="274"/>
    </row>
    <row r="24" spans="1:12" ht="15.75" thickBot="1" x14ac:dyDescent="0.25">
      <c r="A24" s="280" t="s">
        <v>29</v>
      </c>
      <c r="B24" s="457"/>
      <c r="C24" s="281"/>
      <c r="D24" s="282"/>
      <c r="E24" s="283" t="s">
        <v>18</v>
      </c>
    </row>
    <row r="25" spans="1:12" ht="14.25" thickTop="1" thickBot="1" x14ac:dyDescent="0.25">
      <c r="A25" s="254" t="s">
        <v>5</v>
      </c>
      <c r="B25" s="255" t="s">
        <v>0</v>
      </c>
      <c r="C25" s="256" t="s">
        <v>1</v>
      </c>
      <c r="D25" s="257" t="s">
        <v>4</v>
      </c>
      <c r="E25" s="258" t="s">
        <v>6</v>
      </c>
    </row>
    <row r="26" spans="1:12" ht="15.75" thickTop="1" x14ac:dyDescent="0.2">
      <c r="A26" s="259" t="s">
        <v>7</v>
      </c>
      <c r="B26" s="260">
        <f>SUM(B27:B33)</f>
        <v>0</v>
      </c>
      <c r="C26" s="260">
        <f>SUM(C27:C33)</f>
        <v>3061401.16</v>
      </c>
      <c r="D26" s="260">
        <f>SUM(D27:D33)</f>
        <v>2808998.81</v>
      </c>
      <c r="E26" s="284">
        <f>D26/C26*100</f>
        <v>91.755332385122628</v>
      </c>
      <c r="F26" s="247"/>
    </row>
    <row r="27" spans="1:12" x14ac:dyDescent="0.2">
      <c r="A27" s="357" t="s">
        <v>356</v>
      </c>
      <c r="B27" s="455">
        <v>0</v>
      </c>
      <c r="C27" s="308">
        <f>121000+26000</f>
        <v>147000</v>
      </c>
      <c r="D27" s="308">
        <f>119128.79+24163.23</f>
        <v>143292.01999999999</v>
      </c>
      <c r="E27" s="268">
        <f t="shared" ref="E27:E33" si="5">D27/C27*100</f>
        <v>97.477564625850334</v>
      </c>
      <c r="F27" s="270">
        <v>1100</v>
      </c>
      <c r="G27" s="285" t="s">
        <v>353</v>
      </c>
    </row>
    <row r="28" spans="1:12" x14ac:dyDescent="0.2">
      <c r="A28" s="584" t="s">
        <v>191</v>
      </c>
      <c r="B28" s="455">
        <v>0</v>
      </c>
      <c r="C28" s="308">
        <v>185000</v>
      </c>
      <c r="D28" s="308">
        <v>185000</v>
      </c>
      <c r="E28" s="268">
        <f t="shared" si="5"/>
        <v>100</v>
      </c>
      <c r="F28" s="270">
        <v>1123</v>
      </c>
      <c r="G28" s="285" t="s">
        <v>352</v>
      </c>
    </row>
    <row r="29" spans="1:12" x14ac:dyDescent="0.2">
      <c r="A29" s="584" t="s">
        <v>357</v>
      </c>
      <c r="B29" s="455">
        <v>0</v>
      </c>
      <c r="C29" s="308">
        <v>165000</v>
      </c>
      <c r="D29" s="308">
        <v>154551.79999999999</v>
      </c>
      <c r="E29" s="268">
        <f t="shared" si="5"/>
        <v>93.667757575757577</v>
      </c>
      <c r="F29" s="270">
        <v>1132</v>
      </c>
      <c r="G29" s="285" t="s">
        <v>354</v>
      </c>
    </row>
    <row r="30" spans="1:12" ht="25.5" x14ac:dyDescent="0.2">
      <c r="A30" s="357" t="s">
        <v>358</v>
      </c>
      <c r="B30" s="455">
        <v>0</v>
      </c>
      <c r="C30" s="308">
        <v>26401.16</v>
      </c>
      <c r="D30" s="308">
        <v>26401.16</v>
      </c>
      <c r="E30" s="268">
        <f t="shared" si="5"/>
        <v>100</v>
      </c>
      <c r="F30" s="270">
        <v>1175</v>
      </c>
      <c r="G30" s="285" t="s">
        <v>352</v>
      </c>
    </row>
    <row r="31" spans="1:12" x14ac:dyDescent="0.2">
      <c r="A31" s="357" t="s">
        <v>150</v>
      </c>
      <c r="B31" s="455">
        <v>0</v>
      </c>
      <c r="C31" s="308">
        <v>186000</v>
      </c>
      <c r="D31" s="308">
        <v>186000</v>
      </c>
      <c r="E31" s="268">
        <f t="shared" si="5"/>
        <v>100</v>
      </c>
      <c r="F31" s="270">
        <v>1134</v>
      </c>
      <c r="G31" s="285" t="s">
        <v>352</v>
      </c>
      <c r="I31" s="266" t="s">
        <v>39</v>
      </c>
      <c r="J31" s="292">
        <f>B8+B9+B10+B11+B13+B15+B17+B19</f>
        <v>5264000</v>
      </c>
      <c r="K31" s="292">
        <f>C8+C9+C10+C11+C13+C15+C17+C19</f>
        <v>8380167.1600000001</v>
      </c>
      <c r="L31" s="292">
        <f>D8+D9+D10+D11+D13+D15+D17+D19</f>
        <v>7302568.8899999987</v>
      </c>
    </row>
    <row r="32" spans="1:12" ht="12.75" customHeight="1" x14ac:dyDescent="0.2">
      <c r="A32" s="530" t="s">
        <v>234</v>
      </c>
      <c r="B32" s="455">
        <v>0</v>
      </c>
      <c r="C32" s="308">
        <v>2166000</v>
      </c>
      <c r="D32" s="308">
        <v>1931015.83</v>
      </c>
      <c r="E32" s="268">
        <f t="shared" si="5"/>
        <v>89.151238688827334</v>
      </c>
      <c r="F32" s="270">
        <v>1200</v>
      </c>
      <c r="G32" s="285" t="s">
        <v>351</v>
      </c>
      <c r="J32" s="577">
        <f>B12+B14+B16+B18+B20</f>
        <v>21476000</v>
      </c>
      <c r="K32" s="577">
        <f>C12+C14+C16+C18+C20</f>
        <v>19050827.379999999</v>
      </c>
      <c r="L32" s="577">
        <f>D12+D14+D16+D18+D20</f>
        <v>14327246.299999999</v>
      </c>
    </row>
    <row r="33" spans="1:14" ht="13.5" thickBot="1" x14ac:dyDescent="0.25">
      <c r="A33" s="585" t="s">
        <v>155</v>
      </c>
      <c r="B33" s="456">
        <v>0</v>
      </c>
      <c r="C33" s="419">
        <v>186000</v>
      </c>
      <c r="D33" s="419">
        <v>182738</v>
      </c>
      <c r="E33" s="399">
        <f t="shared" si="5"/>
        <v>98.246236559139788</v>
      </c>
      <c r="F33" s="270">
        <v>1226</v>
      </c>
      <c r="G33" s="285" t="s">
        <v>352</v>
      </c>
      <c r="I33" s="404" t="s">
        <v>35</v>
      </c>
      <c r="J33" s="402">
        <f t="shared" ref="J33:L34" si="6">B21</f>
        <v>250000</v>
      </c>
      <c r="K33" s="402">
        <f t="shared" si="6"/>
        <v>250000</v>
      </c>
      <c r="L33" s="402">
        <f t="shared" si="6"/>
        <v>241233.37</v>
      </c>
      <c r="N33" s="578"/>
    </row>
    <row r="34" spans="1:14" s="286" customFormat="1" ht="13.5" thickTop="1" x14ac:dyDescent="0.2">
      <c r="A34" s="290"/>
      <c r="B34" s="277"/>
      <c r="C34" s="291"/>
      <c r="D34" s="277"/>
      <c r="E34" s="279"/>
      <c r="F34" s="288"/>
      <c r="G34" s="287"/>
      <c r="I34" s="246"/>
      <c r="J34" s="498">
        <f t="shared" si="6"/>
        <v>2250000</v>
      </c>
      <c r="K34" s="498">
        <f t="shared" si="6"/>
        <v>2250000</v>
      </c>
      <c r="L34" s="498">
        <f t="shared" si="6"/>
        <v>2171100.0699999998</v>
      </c>
    </row>
    <row r="35" spans="1:14" s="286" customFormat="1" x14ac:dyDescent="0.2">
      <c r="A35" s="290"/>
      <c r="B35" s="277"/>
      <c r="C35" s="291"/>
      <c r="D35" s="277"/>
      <c r="E35" s="279"/>
      <c r="F35" s="288"/>
      <c r="G35" s="287"/>
      <c r="H35" s="285"/>
      <c r="I35" s="293" t="s">
        <v>33</v>
      </c>
      <c r="J35" s="294">
        <f>B26</f>
        <v>0</v>
      </c>
      <c r="K35" s="294">
        <f>C26</f>
        <v>3061401.16</v>
      </c>
      <c r="L35" s="294">
        <f>D26</f>
        <v>2808998.81</v>
      </c>
    </row>
    <row r="36" spans="1:14" s="300" customFormat="1" ht="18.75" thickBot="1" x14ac:dyDescent="0.3">
      <c r="A36" s="295" t="s">
        <v>20</v>
      </c>
      <c r="B36" s="458">
        <f>SUM(B26,B7)</f>
        <v>29240000</v>
      </c>
      <c r="C36" s="458">
        <f>SUM(C26,C7)</f>
        <v>32992395.699999999</v>
      </c>
      <c r="D36" s="458">
        <f>SUM(D26,D7)</f>
        <v>26851147.439999998</v>
      </c>
      <c r="E36" s="297">
        <f>D36/C36*100</f>
        <v>81.385867471273073</v>
      </c>
      <c r="F36" s="298"/>
      <c r="G36" s="299"/>
      <c r="H36" s="299"/>
      <c r="I36" s="286"/>
      <c r="J36" s="271">
        <f>J31+J32+J33+J34+J35</f>
        <v>29240000</v>
      </c>
      <c r="K36" s="271">
        <f t="shared" ref="K36:L36" si="7">K31+K32+K33+K34+K35</f>
        <v>32992395.699999999</v>
      </c>
      <c r="L36" s="271">
        <f t="shared" si="7"/>
        <v>26851147.439999998</v>
      </c>
    </row>
    <row r="37" spans="1:14" ht="13.5" thickTop="1" x14ac:dyDescent="0.2">
      <c r="A37" s="301"/>
      <c r="B37" s="277"/>
      <c r="C37" s="302"/>
      <c r="D37" s="303"/>
      <c r="E37" s="279"/>
      <c r="F37" s="247"/>
    </row>
    <row r="38" spans="1:14" x14ac:dyDescent="0.2">
      <c r="A38" s="301"/>
      <c r="B38" s="277"/>
      <c r="C38" s="302"/>
      <c r="D38" s="303"/>
      <c r="E38" s="279"/>
      <c r="F38" s="247"/>
    </row>
    <row r="39" spans="1:14" ht="18" x14ac:dyDescent="0.25">
      <c r="A39" s="250" t="s">
        <v>28</v>
      </c>
      <c r="B39" s="242"/>
    </row>
    <row r="40" spans="1:14" ht="15" customHeight="1" thickBot="1" x14ac:dyDescent="0.3">
      <c r="A40" s="251" t="s">
        <v>78</v>
      </c>
      <c r="B40" s="242"/>
      <c r="E40" s="253" t="s">
        <v>18</v>
      </c>
    </row>
    <row r="41" spans="1:14" ht="14.25" thickTop="1" thickBot="1" x14ac:dyDescent="0.25">
      <c r="A41" s="254" t="s">
        <v>5</v>
      </c>
      <c r="B41" s="255" t="s">
        <v>0</v>
      </c>
      <c r="C41" s="256" t="s">
        <v>1</v>
      </c>
      <c r="D41" s="257" t="s">
        <v>4</v>
      </c>
      <c r="E41" s="258" t="s">
        <v>6</v>
      </c>
    </row>
    <row r="42" spans="1:14" ht="15.75" thickTop="1" x14ac:dyDescent="0.25">
      <c r="A42" s="313" t="s">
        <v>9</v>
      </c>
      <c r="B42" s="314">
        <f>SUM(B43:B58)</f>
        <v>59960000</v>
      </c>
      <c r="C42" s="314">
        <f>SUM(C43:C58)</f>
        <v>57435587.890000001</v>
      </c>
      <c r="D42" s="314">
        <f>SUM(D43:D58)</f>
        <v>43012859.18</v>
      </c>
      <c r="E42" s="579">
        <f>D42/C42*100</f>
        <v>74.888863786643483</v>
      </c>
      <c r="F42" s="304"/>
      <c r="I42" s="266"/>
    </row>
    <row r="43" spans="1:14" s="306" customFormat="1" x14ac:dyDescent="0.2">
      <c r="A43" s="609" t="s">
        <v>62</v>
      </c>
      <c r="B43" s="455">
        <v>15439000</v>
      </c>
      <c r="C43" s="308">
        <v>19062535.030000001</v>
      </c>
      <c r="D43" s="308">
        <v>13410032.27</v>
      </c>
      <c r="E43" s="268">
        <f>D43/C43*100</f>
        <v>70.347580995369839</v>
      </c>
      <c r="F43" s="482">
        <v>101137</v>
      </c>
      <c r="G43" s="269" t="s">
        <v>86</v>
      </c>
    </row>
    <row r="44" spans="1:14" s="306" customFormat="1" x14ac:dyDescent="0.2">
      <c r="A44" s="603"/>
      <c r="B44" s="453">
        <v>11792000</v>
      </c>
      <c r="C44" s="418">
        <v>12396054.5</v>
      </c>
      <c r="D44" s="418">
        <v>12338318.02</v>
      </c>
      <c r="E44" s="417">
        <f>D44/C44*100</f>
        <v>99.534235026152871</v>
      </c>
      <c r="F44" s="482">
        <v>101137</v>
      </c>
      <c r="G44" s="405" t="s">
        <v>335</v>
      </c>
      <c r="H44" s="597"/>
    </row>
    <row r="45" spans="1:14" s="306" customFormat="1" ht="25.5" x14ac:dyDescent="0.2">
      <c r="A45" s="571" t="s">
        <v>88</v>
      </c>
      <c r="B45" s="454">
        <v>0</v>
      </c>
      <c r="C45" s="307">
        <v>236457.4</v>
      </c>
      <c r="D45" s="307">
        <v>236456.58</v>
      </c>
      <c r="E45" s="267">
        <f t="shared" ref="E45" si="8">D45/C45*100</f>
        <v>99.999653214490209</v>
      </c>
      <c r="F45" s="482">
        <v>101178</v>
      </c>
      <c r="G45" s="269" t="s">
        <v>86</v>
      </c>
      <c r="H45" s="309"/>
    </row>
    <row r="46" spans="1:14" s="306" customFormat="1" ht="25.5" customHeight="1" x14ac:dyDescent="0.2">
      <c r="A46" s="605" t="s">
        <v>89</v>
      </c>
      <c r="B46" s="454">
        <v>3284000</v>
      </c>
      <c r="C46" s="307">
        <v>4972362</v>
      </c>
      <c r="D46" s="307">
        <v>30725</v>
      </c>
      <c r="E46" s="267">
        <f>D46/C46*100</f>
        <v>0.61791559021648057</v>
      </c>
      <c r="F46" s="482">
        <v>101181</v>
      </c>
      <c r="G46" s="269" t="s">
        <v>86</v>
      </c>
      <c r="H46" s="309"/>
    </row>
    <row r="47" spans="1:14" s="306" customFormat="1" x14ac:dyDescent="0.2">
      <c r="A47" s="606"/>
      <c r="B47" s="454">
        <v>3559000</v>
      </c>
      <c r="C47" s="307">
        <v>0</v>
      </c>
      <c r="D47" s="307">
        <v>0</v>
      </c>
      <c r="E47" s="267">
        <v>0</v>
      </c>
      <c r="F47" s="482">
        <v>101181</v>
      </c>
      <c r="G47" s="405" t="s">
        <v>335</v>
      </c>
      <c r="H47" s="309"/>
    </row>
    <row r="48" spans="1:14" s="306" customFormat="1" ht="25.5" customHeight="1" x14ac:dyDescent="0.2">
      <c r="A48" s="607" t="s">
        <v>83</v>
      </c>
      <c r="B48" s="453">
        <v>277000</v>
      </c>
      <c r="C48" s="418">
        <v>2074082.26</v>
      </c>
      <c r="D48" s="418">
        <v>2074082.26</v>
      </c>
      <c r="E48" s="267">
        <f t="shared" ref="E48:E58" si="9">D48/C48*100</f>
        <v>100</v>
      </c>
      <c r="F48" s="482">
        <v>101247</v>
      </c>
      <c r="G48" s="269" t="s">
        <v>86</v>
      </c>
      <c r="H48" s="309"/>
    </row>
    <row r="49" spans="1:12" s="306" customFormat="1" x14ac:dyDescent="0.2">
      <c r="A49" s="608"/>
      <c r="B49" s="453">
        <v>1723000</v>
      </c>
      <c r="C49" s="418">
        <v>0</v>
      </c>
      <c r="D49" s="418">
        <v>0</v>
      </c>
      <c r="E49" s="267">
        <v>0</v>
      </c>
      <c r="F49" s="482">
        <v>101247</v>
      </c>
      <c r="G49" s="405" t="s">
        <v>335</v>
      </c>
      <c r="H49" s="309"/>
    </row>
    <row r="50" spans="1:12" s="306" customFormat="1" ht="25.5" x14ac:dyDescent="0.2">
      <c r="A50" s="570" t="s">
        <v>185</v>
      </c>
      <c r="B50" s="453">
        <v>0</v>
      </c>
      <c r="C50" s="418">
        <v>223197.81</v>
      </c>
      <c r="D50" s="418">
        <v>223197.81</v>
      </c>
      <c r="E50" s="267">
        <f t="shared" si="9"/>
        <v>100</v>
      </c>
      <c r="F50" s="482">
        <v>101338</v>
      </c>
      <c r="G50" s="269" t="s">
        <v>86</v>
      </c>
      <c r="H50" s="309"/>
    </row>
    <row r="51" spans="1:12" s="306" customFormat="1" ht="25.5" x14ac:dyDescent="0.2">
      <c r="A51" s="570" t="s">
        <v>186</v>
      </c>
      <c r="B51" s="453">
        <v>0</v>
      </c>
      <c r="C51" s="418">
        <v>244462.35</v>
      </c>
      <c r="D51" s="418">
        <v>244462.35</v>
      </c>
      <c r="E51" s="267">
        <f t="shared" si="9"/>
        <v>100</v>
      </c>
      <c r="F51" s="482">
        <v>101339</v>
      </c>
      <c r="G51" s="269" t="s">
        <v>86</v>
      </c>
      <c r="H51" s="309"/>
    </row>
    <row r="52" spans="1:12" s="306" customFormat="1" ht="25.5" x14ac:dyDescent="0.2">
      <c r="A52" s="570" t="s">
        <v>187</v>
      </c>
      <c r="B52" s="453">
        <v>0</v>
      </c>
      <c r="C52" s="418">
        <v>789184.46</v>
      </c>
      <c r="D52" s="418">
        <v>789184.46</v>
      </c>
      <c r="E52" s="267">
        <f t="shared" si="9"/>
        <v>100</v>
      </c>
      <c r="F52" s="482">
        <v>101340</v>
      </c>
      <c r="G52" s="269" t="s">
        <v>86</v>
      </c>
      <c r="H52" s="309"/>
    </row>
    <row r="53" spans="1:12" s="306" customFormat="1" ht="25.5" x14ac:dyDescent="0.2">
      <c r="A53" s="495" t="s">
        <v>188</v>
      </c>
      <c r="B53" s="453">
        <v>1422000</v>
      </c>
      <c r="C53" s="418">
        <v>0</v>
      </c>
      <c r="D53" s="418">
        <v>0</v>
      </c>
      <c r="E53" s="267">
        <v>0</v>
      </c>
      <c r="F53" s="482">
        <v>101341</v>
      </c>
      <c r="G53" s="269" t="s">
        <v>86</v>
      </c>
      <c r="H53" s="309"/>
    </row>
    <row r="54" spans="1:12" s="306" customFormat="1" ht="25.5" customHeight="1" x14ac:dyDescent="0.2">
      <c r="A54" s="607" t="s">
        <v>189</v>
      </c>
      <c r="B54" s="453">
        <v>4990000</v>
      </c>
      <c r="C54" s="418">
        <v>4737733.28</v>
      </c>
      <c r="D54" s="418">
        <v>3182675.91</v>
      </c>
      <c r="E54" s="267">
        <f t="shared" si="9"/>
        <v>67.177186259839431</v>
      </c>
      <c r="F54" s="482">
        <v>101342</v>
      </c>
      <c r="G54" s="269" t="s">
        <v>86</v>
      </c>
      <c r="H54" s="309"/>
    </row>
    <row r="55" spans="1:12" s="306" customFormat="1" x14ac:dyDescent="0.2">
      <c r="A55" s="608"/>
      <c r="B55" s="454">
        <v>17474000</v>
      </c>
      <c r="C55" s="307">
        <v>12532363.800000001</v>
      </c>
      <c r="D55" s="307">
        <v>10359094.52</v>
      </c>
      <c r="E55" s="267">
        <f t="shared" si="9"/>
        <v>82.658744075080222</v>
      </c>
      <c r="F55" s="482">
        <v>101342</v>
      </c>
      <c r="G55" s="405" t="s">
        <v>335</v>
      </c>
      <c r="H55" s="309"/>
    </row>
    <row r="56" spans="1:12" s="312" customFormat="1" ht="25.5" x14ac:dyDescent="0.2">
      <c r="A56" s="564" t="s">
        <v>190</v>
      </c>
      <c r="B56" s="566">
        <v>0</v>
      </c>
      <c r="C56" s="566">
        <v>9680</v>
      </c>
      <c r="D56" s="566">
        <v>9680</v>
      </c>
      <c r="E56" s="267">
        <f t="shared" si="9"/>
        <v>100</v>
      </c>
      <c r="F56" s="305" t="s">
        <v>173</v>
      </c>
      <c r="G56" s="269" t="s">
        <v>86</v>
      </c>
      <c r="H56" s="311"/>
    </row>
    <row r="57" spans="1:12" s="312" customFormat="1" x14ac:dyDescent="0.2">
      <c r="A57" s="569" t="s">
        <v>359</v>
      </c>
      <c r="B57" s="566">
        <v>0</v>
      </c>
      <c r="C57" s="566">
        <v>57475</v>
      </c>
      <c r="D57" s="566">
        <v>57475</v>
      </c>
      <c r="E57" s="267">
        <f t="shared" si="9"/>
        <v>100</v>
      </c>
      <c r="F57" s="305" t="s">
        <v>344</v>
      </c>
      <c r="G57" s="531" t="s">
        <v>221</v>
      </c>
      <c r="H57" s="311"/>
    </row>
    <row r="58" spans="1:12" s="312" customFormat="1" ht="13.5" thickBot="1" x14ac:dyDescent="0.25">
      <c r="A58" s="562" t="s">
        <v>337</v>
      </c>
      <c r="B58" s="398">
        <v>0</v>
      </c>
      <c r="C58" s="398">
        <v>100000</v>
      </c>
      <c r="D58" s="398">
        <v>57475</v>
      </c>
      <c r="E58" s="399">
        <f t="shared" si="9"/>
        <v>57.475000000000001</v>
      </c>
      <c r="F58" s="305" t="s">
        <v>303</v>
      </c>
      <c r="G58" s="531" t="s">
        <v>221</v>
      </c>
      <c r="H58" s="311"/>
    </row>
    <row r="59" spans="1:12" s="312" customFormat="1" ht="15.75" thickTop="1" x14ac:dyDescent="0.25">
      <c r="A59" s="251"/>
      <c r="B59" s="242"/>
      <c r="C59" s="246"/>
      <c r="D59" s="252"/>
      <c r="E59" s="253"/>
      <c r="F59" s="310"/>
      <c r="G59" s="311"/>
      <c r="H59" s="311"/>
    </row>
    <row r="60" spans="1:12" s="312" customFormat="1" ht="15.75" thickBot="1" x14ac:dyDescent="0.25">
      <c r="A60" s="280" t="s">
        <v>29</v>
      </c>
      <c r="B60" s="457"/>
      <c r="C60" s="281"/>
      <c r="D60" s="282"/>
      <c r="E60" s="283" t="s">
        <v>18</v>
      </c>
      <c r="F60" s="321"/>
      <c r="G60" s="262"/>
      <c r="H60" s="311"/>
    </row>
    <row r="61" spans="1:12" s="312" customFormat="1" ht="14.25" thickTop="1" thickBot="1" x14ac:dyDescent="0.25">
      <c r="A61" s="254" t="s">
        <v>5</v>
      </c>
      <c r="B61" s="255" t="s">
        <v>0</v>
      </c>
      <c r="C61" s="256" t="s">
        <v>1</v>
      </c>
      <c r="D61" s="257" t="s">
        <v>4</v>
      </c>
      <c r="E61" s="258" t="s">
        <v>6</v>
      </c>
      <c r="F61" s="321"/>
      <c r="G61" s="262"/>
      <c r="H61" s="311"/>
      <c r="I61" s="316" t="s">
        <v>39</v>
      </c>
      <c r="J61" s="292">
        <f>B43+B45+B46+B48+B50+B51+B52+B53+B54+B56</f>
        <v>25412000</v>
      </c>
      <c r="K61" s="292">
        <f>C43+C45+C46+C48+C50+C51+C52+C53+C54+C56</f>
        <v>32349694.590000004</v>
      </c>
      <c r="L61" s="292">
        <f>D43+D45+D46+D48+D50+D51+D52+D53+D54+D56</f>
        <v>20200496.640000001</v>
      </c>
    </row>
    <row r="62" spans="1:12" s="312" customFormat="1" ht="15.75" thickTop="1" x14ac:dyDescent="0.2">
      <c r="A62" s="259" t="s">
        <v>9</v>
      </c>
      <c r="B62" s="260">
        <f>SUM(B63:B63)</f>
        <v>0</v>
      </c>
      <c r="C62" s="260">
        <f>SUM(C63:C63)</f>
        <v>19000</v>
      </c>
      <c r="D62" s="260">
        <f>SUM(D63:D63)</f>
        <v>19000</v>
      </c>
      <c r="E62" s="284">
        <f>D62/C62*100</f>
        <v>100</v>
      </c>
      <c r="F62" s="321"/>
      <c r="G62" s="262"/>
      <c r="H62" s="311"/>
      <c r="I62" s="317"/>
      <c r="J62" s="498">
        <f>B44+B47+B49+B55</f>
        <v>34548000</v>
      </c>
      <c r="K62" s="498">
        <f>C44+C47+C49+C55</f>
        <v>24928418.300000001</v>
      </c>
      <c r="L62" s="498">
        <f>D44+D47+D49+D55</f>
        <v>22697412.539999999</v>
      </c>
    </row>
    <row r="63" spans="1:12" s="312" customFormat="1" ht="13.5" thickBot="1" x14ac:dyDescent="0.25">
      <c r="A63" s="585" t="s">
        <v>156</v>
      </c>
      <c r="B63" s="456">
        <v>0</v>
      </c>
      <c r="C63" s="419">
        <v>19000</v>
      </c>
      <c r="D63" s="419">
        <v>19000</v>
      </c>
      <c r="E63" s="399">
        <f t="shared" ref="E63" si="10">D63/C63*100</f>
        <v>100</v>
      </c>
      <c r="F63" s="270">
        <v>1641</v>
      </c>
      <c r="G63" s="285" t="s">
        <v>240</v>
      </c>
      <c r="H63" s="311"/>
      <c r="I63" s="404" t="s">
        <v>35</v>
      </c>
      <c r="J63" s="402">
        <f>B58+B57</f>
        <v>0</v>
      </c>
      <c r="K63" s="402">
        <f>C58+C57</f>
        <v>157475</v>
      </c>
      <c r="L63" s="402">
        <f>D58+D57</f>
        <v>114950</v>
      </c>
    </row>
    <row r="64" spans="1:12" s="312" customFormat="1" ht="15.75" thickTop="1" x14ac:dyDescent="0.25">
      <c r="A64" s="251"/>
      <c r="B64" s="242"/>
      <c r="C64" s="246"/>
      <c r="D64" s="252"/>
      <c r="E64" s="253"/>
      <c r="F64" s="310"/>
      <c r="G64" s="311"/>
      <c r="H64" s="311"/>
      <c r="I64" s="293" t="s">
        <v>33</v>
      </c>
      <c r="J64" s="294">
        <f>B62</f>
        <v>0</v>
      </c>
      <c r="K64" s="294">
        <f>C62</f>
        <v>19000</v>
      </c>
      <c r="L64" s="294">
        <f>D62</f>
        <v>19000</v>
      </c>
    </row>
    <row r="65" spans="1:12" s="300" customFormat="1" ht="18.75" thickBot="1" x14ac:dyDescent="0.3">
      <c r="A65" s="295" t="s">
        <v>21</v>
      </c>
      <c r="B65" s="458">
        <f>SUM(B42,B62)</f>
        <v>59960000</v>
      </c>
      <c r="C65" s="458">
        <f>SUM(C42,C62)</f>
        <v>57454587.890000001</v>
      </c>
      <c r="D65" s="458">
        <f>SUM(D42,D62)</f>
        <v>43031859.18</v>
      </c>
      <c r="E65" s="297">
        <f>D65/C65*100</f>
        <v>74.897167937897109</v>
      </c>
      <c r="F65" s="238"/>
      <c r="G65" s="299"/>
      <c r="H65" s="299"/>
      <c r="I65" s="293"/>
      <c r="J65" s="271">
        <f>SUM(J61:J64)</f>
        <v>59960000</v>
      </c>
      <c r="K65" s="271">
        <f t="shared" ref="K65:L65" si="11">SUM(K61:K64)</f>
        <v>57454587.890000001</v>
      </c>
      <c r="L65" s="271">
        <f t="shared" si="11"/>
        <v>43031859.18</v>
      </c>
    </row>
    <row r="66" spans="1:12" s="320" customFormat="1" ht="13.5" thickTop="1" x14ac:dyDescent="0.2">
      <c r="B66" s="459"/>
      <c r="E66" s="279"/>
      <c r="F66" s="321"/>
      <c r="G66" s="262"/>
      <c r="H66" s="262"/>
    </row>
    <row r="67" spans="1:12" s="320" customFormat="1" x14ac:dyDescent="0.2">
      <c r="B67" s="459"/>
      <c r="E67" s="279"/>
      <c r="F67" s="321"/>
      <c r="G67" s="262"/>
      <c r="H67" s="262"/>
    </row>
    <row r="68" spans="1:12" ht="15" customHeight="1" x14ac:dyDescent="0.25">
      <c r="A68" s="250" t="s">
        <v>47</v>
      </c>
      <c r="B68" s="242"/>
    </row>
    <row r="69" spans="1:12" ht="15" customHeight="1" thickBot="1" x14ac:dyDescent="0.3">
      <c r="A69" s="251" t="s">
        <v>78</v>
      </c>
      <c r="B69" s="242"/>
      <c r="E69" s="253" t="s">
        <v>18</v>
      </c>
    </row>
    <row r="70" spans="1:12" ht="14.25" thickTop="1" thickBot="1" x14ac:dyDescent="0.25">
      <c r="A70" s="254" t="s">
        <v>5</v>
      </c>
      <c r="B70" s="255" t="s">
        <v>0</v>
      </c>
      <c r="C70" s="256" t="s">
        <v>1</v>
      </c>
      <c r="D70" s="257" t="s">
        <v>4</v>
      </c>
      <c r="E70" s="258" t="s">
        <v>6</v>
      </c>
    </row>
    <row r="71" spans="1:12" ht="15.75" thickTop="1" x14ac:dyDescent="0.2">
      <c r="A71" s="313" t="s">
        <v>8</v>
      </c>
      <c r="B71" s="314">
        <f>SUM(B72:B75)</f>
        <v>31323000</v>
      </c>
      <c r="C71" s="314">
        <f>SUM(C72:C75)</f>
        <v>24177383.649999999</v>
      </c>
      <c r="D71" s="314">
        <f>SUM(D72:D75)</f>
        <v>23279620.59</v>
      </c>
      <c r="E71" s="315">
        <f t="shared" ref="E71:E75" si="12">D71/C71*100</f>
        <v>96.286765048706997</v>
      </c>
      <c r="F71" s="247"/>
    </row>
    <row r="72" spans="1:12" ht="15" customHeight="1" x14ac:dyDescent="0.2">
      <c r="A72" s="603" t="s">
        <v>338</v>
      </c>
      <c r="B72" s="581">
        <v>296000</v>
      </c>
      <c r="C72" s="581">
        <v>296000</v>
      </c>
      <c r="D72" s="581">
        <v>88830.27</v>
      </c>
      <c r="E72" s="268">
        <f t="shared" si="12"/>
        <v>30.010226351351356</v>
      </c>
      <c r="F72" s="322">
        <v>101187</v>
      </c>
      <c r="G72" s="269" t="s">
        <v>86</v>
      </c>
    </row>
    <row r="73" spans="1:12" ht="15" customHeight="1" x14ac:dyDescent="0.2">
      <c r="A73" s="610"/>
      <c r="B73" s="582">
        <v>1027000</v>
      </c>
      <c r="C73" s="582">
        <v>1027000</v>
      </c>
      <c r="D73" s="582">
        <v>752318.7</v>
      </c>
      <c r="E73" s="417">
        <f t="shared" si="12"/>
        <v>73.254011684518005</v>
      </c>
      <c r="F73" s="322">
        <v>101187</v>
      </c>
      <c r="G73" s="405" t="s">
        <v>335</v>
      </c>
      <c r="H73" s="309"/>
    </row>
    <row r="74" spans="1:12" ht="15" customHeight="1" x14ac:dyDescent="0.2">
      <c r="A74" s="610" t="s">
        <v>339</v>
      </c>
      <c r="B74" s="582">
        <v>7500000</v>
      </c>
      <c r="C74" s="582">
        <v>2990298</v>
      </c>
      <c r="D74" s="582">
        <v>2574385.9700000002</v>
      </c>
      <c r="E74" s="417">
        <f t="shared" si="12"/>
        <v>86.091284881974985</v>
      </c>
      <c r="F74" s="322">
        <v>101242</v>
      </c>
      <c r="G74" s="269" t="s">
        <v>86</v>
      </c>
    </row>
    <row r="75" spans="1:12" ht="15" customHeight="1" thickBot="1" x14ac:dyDescent="0.25">
      <c r="A75" s="611"/>
      <c r="B75" s="398">
        <v>22500000</v>
      </c>
      <c r="C75" s="398">
        <v>19864085.649999999</v>
      </c>
      <c r="D75" s="398">
        <v>19864085.649999999</v>
      </c>
      <c r="E75" s="399">
        <f t="shared" si="12"/>
        <v>100</v>
      </c>
      <c r="F75" s="322">
        <v>101242</v>
      </c>
      <c r="G75" s="405" t="s">
        <v>335</v>
      </c>
      <c r="H75" s="309"/>
    </row>
    <row r="76" spans="1:12" ht="13.5" thickTop="1" x14ac:dyDescent="0.2">
      <c r="A76" s="323"/>
      <c r="B76" s="376"/>
      <c r="C76" s="324"/>
      <c r="D76" s="324"/>
      <c r="E76" s="279"/>
      <c r="F76" s="247"/>
      <c r="G76" s="289"/>
    </row>
    <row r="77" spans="1:12" s="320" customFormat="1" ht="15.75" thickBot="1" x14ac:dyDescent="0.25">
      <c r="A77" s="280" t="s">
        <v>29</v>
      </c>
      <c r="B77" s="457"/>
      <c r="C77" s="281"/>
      <c r="D77" s="282"/>
      <c r="E77" s="283" t="s">
        <v>18</v>
      </c>
      <c r="F77" s="321"/>
      <c r="G77" s="262"/>
      <c r="H77" s="262"/>
    </row>
    <row r="78" spans="1:12" s="320" customFormat="1" ht="14.25" thickTop="1" thickBot="1" x14ac:dyDescent="0.25">
      <c r="A78" s="254" t="s">
        <v>5</v>
      </c>
      <c r="B78" s="255" t="s">
        <v>0</v>
      </c>
      <c r="C78" s="256" t="s">
        <v>1</v>
      </c>
      <c r="D78" s="257" t="s">
        <v>4</v>
      </c>
      <c r="E78" s="258" t="s">
        <v>6</v>
      </c>
      <c r="F78" s="321"/>
      <c r="G78" s="262"/>
      <c r="H78" s="262"/>
    </row>
    <row r="79" spans="1:12" s="320" customFormat="1" ht="15.75" thickTop="1" x14ac:dyDescent="0.2">
      <c r="A79" s="259" t="s">
        <v>8</v>
      </c>
      <c r="B79" s="260">
        <f>SUM(B80:B81)</f>
        <v>0</v>
      </c>
      <c r="C79" s="260">
        <f>SUM(C80:C81)</f>
        <v>2612197.7599999998</v>
      </c>
      <c r="D79" s="260">
        <f>SUM(D80:D81)</f>
        <v>2612197.7599999998</v>
      </c>
      <c r="E79" s="284">
        <f>D79/C79*100</f>
        <v>100</v>
      </c>
      <c r="F79" s="321"/>
      <c r="G79" s="262"/>
      <c r="H79" s="262"/>
    </row>
    <row r="80" spans="1:12" s="320" customFormat="1" x14ac:dyDescent="0.2">
      <c r="A80" s="615" t="s">
        <v>164</v>
      </c>
      <c r="B80" s="455">
        <v>0</v>
      </c>
      <c r="C80" s="308">
        <f>1253140.37</f>
        <v>1253140.3700000001</v>
      </c>
      <c r="D80" s="308">
        <f>1253140.37</f>
        <v>1253140.3700000001</v>
      </c>
      <c r="E80" s="268">
        <f t="shared" ref="E80" si="13">D80/C80*100</f>
        <v>100</v>
      </c>
      <c r="F80" s="322">
        <v>1602</v>
      </c>
      <c r="G80" s="285" t="s">
        <v>350</v>
      </c>
      <c r="H80" s="262"/>
      <c r="I80" s="316" t="s">
        <v>39</v>
      </c>
      <c r="J80" s="292">
        <f t="shared" ref="J80:L81" si="14">B72+B74</f>
        <v>7796000</v>
      </c>
      <c r="K80" s="292">
        <f t="shared" si="14"/>
        <v>3286298</v>
      </c>
      <c r="L80" s="292">
        <f t="shared" si="14"/>
        <v>2663216.2400000002</v>
      </c>
    </row>
    <row r="81" spans="1:12" s="320" customFormat="1" ht="13.5" thickBot="1" x14ac:dyDescent="0.25">
      <c r="A81" s="616"/>
      <c r="B81" s="456">
        <v>0</v>
      </c>
      <c r="C81" s="419">
        <v>1359057.39</v>
      </c>
      <c r="D81" s="419">
        <v>1359057.39</v>
      </c>
      <c r="E81" s="399">
        <f t="shared" ref="E81" si="15">D81/C81*100</f>
        <v>100</v>
      </c>
      <c r="F81" s="322">
        <v>1602</v>
      </c>
      <c r="G81" s="285" t="s">
        <v>355</v>
      </c>
      <c r="H81" s="262"/>
      <c r="J81" s="498">
        <f t="shared" si="14"/>
        <v>23527000</v>
      </c>
      <c r="K81" s="498">
        <f t="shared" si="14"/>
        <v>20891085.649999999</v>
      </c>
      <c r="L81" s="498">
        <f t="shared" si="14"/>
        <v>20616404.349999998</v>
      </c>
    </row>
    <row r="82" spans="1:12" s="320" customFormat="1" ht="13.5" thickTop="1" x14ac:dyDescent="0.2">
      <c r="B82" s="460"/>
      <c r="C82" s="325"/>
      <c r="D82" s="325"/>
      <c r="E82" s="279"/>
      <c r="F82" s="321"/>
      <c r="G82" s="262"/>
      <c r="I82" s="293" t="s">
        <v>33</v>
      </c>
      <c r="J82" s="294">
        <f>B79</f>
        <v>0</v>
      </c>
      <c r="K82" s="294">
        <f>C79</f>
        <v>2612197.7599999998</v>
      </c>
      <c r="L82" s="294">
        <f>D79</f>
        <v>2612197.7599999998</v>
      </c>
    </row>
    <row r="83" spans="1:12" s="300" customFormat="1" ht="18.75" thickBot="1" x14ac:dyDescent="0.3">
      <c r="A83" s="295" t="s">
        <v>22</v>
      </c>
      <c r="B83" s="458">
        <f>SUM(B71,B79)</f>
        <v>31323000</v>
      </c>
      <c r="C83" s="458">
        <f>SUM(C71,C79)</f>
        <v>26789581.409999996</v>
      </c>
      <c r="D83" s="458">
        <f>SUM(D71,D79)</f>
        <v>25891818.350000001</v>
      </c>
      <c r="E83" s="297">
        <f>D83/C83*100</f>
        <v>96.648835059196273</v>
      </c>
      <c r="F83" s="326"/>
      <c r="G83" s="299"/>
      <c r="J83" s="271">
        <f>SUM(J80:J82)</f>
        <v>31323000</v>
      </c>
      <c r="K83" s="271">
        <f>SUM(K80:K82)</f>
        <v>26789581.409999996</v>
      </c>
      <c r="L83" s="271">
        <f>SUM(L80:L82)</f>
        <v>25891818.349999994</v>
      </c>
    </row>
    <row r="84" spans="1:12" s="300" customFormat="1" ht="18.75" thickTop="1" x14ac:dyDescent="0.25">
      <c r="A84" s="327"/>
      <c r="B84" s="461"/>
      <c r="C84" s="328"/>
      <c r="D84" s="328"/>
      <c r="E84" s="329"/>
      <c r="F84" s="326"/>
      <c r="G84" s="299"/>
    </row>
    <row r="85" spans="1:12" s="320" customFormat="1" x14ac:dyDescent="0.2">
      <c r="B85" s="459"/>
      <c r="E85" s="279"/>
      <c r="F85" s="321"/>
      <c r="G85" s="262"/>
    </row>
    <row r="86" spans="1:12" ht="15" customHeight="1" x14ac:dyDescent="0.25">
      <c r="A86" s="250" t="s">
        <v>48</v>
      </c>
      <c r="B86" s="242"/>
    </row>
    <row r="87" spans="1:12" ht="15" customHeight="1" thickBot="1" x14ac:dyDescent="0.3">
      <c r="A87" s="251" t="s">
        <v>78</v>
      </c>
      <c r="B87" s="242"/>
      <c r="E87" s="253" t="s">
        <v>18</v>
      </c>
    </row>
    <row r="88" spans="1:12" ht="14.25" thickTop="1" thickBot="1" x14ac:dyDescent="0.25">
      <c r="A88" s="254" t="s">
        <v>5</v>
      </c>
      <c r="B88" s="255" t="s">
        <v>0</v>
      </c>
      <c r="C88" s="256" t="s">
        <v>1</v>
      </c>
      <c r="D88" s="257" t="s">
        <v>4</v>
      </c>
      <c r="E88" s="258" t="s">
        <v>6</v>
      </c>
    </row>
    <row r="89" spans="1:12" ht="15.75" thickTop="1" x14ac:dyDescent="0.25">
      <c r="A89" s="259" t="s">
        <v>11</v>
      </c>
      <c r="B89" s="330">
        <f>SUM(B90:B100)</f>
        <v>357701000</v>
      </c>
      <c r="C89" s="330">
        <f>SUM(C90:C100)</f>
        <v>280599621.46000004</v>
      </c>
      <c r="D89" s="330">
        <f>SUM(D90:D100)</f>
        <v>253806660.13999999</v>
      </c>
      <c r="E89" s="261">
        <f>D89/C89*100</f>
        <v>90.451533334010776</v>
      </c>
      <c r="F89" s="247"/>
      <c r="H89" s="309"/>
    </row>
    <row r="90" spans="1:12" s="334" customFormat="1" x14ac:dyDescent="0.2">
      <c r="A90" s="617" t="s">
        <v>91</v>
      </c>
      <c r="B90" s="502">
        <v>0</v>
      </c>
      <c r="C90" s="502">
        <v>10656232.529999999</v>
      </c>
      <c r="D90" s="503">
        <v>1420355.73</v>
      </c>
      <c r="E90" s="421">
        <f>D90/C90*100</f>
        <v>13.328873276754594</v>
      </c>
      <c r="F90" s="322">
        <v>100040</v>
      </c>
      <c r="G90" s="332" t="s">
        <v>43</v>
      </c>
      <c r="H90" s="333"/>
    </row>
    <row r="91" spans="1:12" s="334" customFormat="1" x14ac:dyDescent="0.2">
      <c r="A91" s="617"/>
      <c r="B91" s="502">
        <v>168000000</v>
      </c>
      <c r="C91" s="502">
        <f>73442411.59+43431415.01</f>
        <v>116873826.59999999</v>
      </c>
      <c r="D91" s="503">
        <v>110348952.77</v>
      </c>
      <c r="E91" s="421">
        <f>D91/C91*100</f>
        <v>94.417164201929197</v>
      </c>
      <c r="F91" s="322">
        <v>100040</v>
      </c>
      <c r="G91" s="405" t="s">
        <v>291</v>
      </c>
      <c r="H91" s="333"/>
      <c r="I91" s="587"/>
    </row>
    <row r="92" spans="1:12" s="334" customFormat="1" x14ac:dyDescent="0.2">
      <c r="A92" s="622" t="s">
        <v>93</v>
      </c>
      <c r="B92" s="497">
        <v>43130000</v>
      </c>
      <c r="C92" s="502">
        <v>17996960</v>
      </c>
      <c r="D92" s="503">
        <v>15509256.5</v>
      </c>
      <c r="E92" s="421">
        <f t="shared" ref="E92:E95" si="16">D92/C92*100</f>
        <v>86.177090464167279</v>
      </c>
      <c r="F92" s="322">
        <v>100914</v>
      </c>
      <c r="G92" s="332" t="s">
        <v>43</v>
      </c>
      <c r="H92" s="333"/>
    </row>
    <row r="93" spans="1:12" s="334" customFormat="1" x14ac:dyDescent="0.2">
      <c r="A93" s="622"/>
      <c r="B93" s="533">
        <v>49735000</v>
      </c>
      <c r="C93" s="504">
        <f>12070000+23586195.09</f>
        <v>35656195.090000004</v>
      </c>
      <c r="D93" s="505">
        <v>35608311.649999999</v>
      </c>
      <c r="E93" s="421">
        <f t="shared" si="16"/>
        <v>99.865707936926128</v>
      </c>
      <c r="F93" s="322">
        <v>100914</v>
      </c>
      <c r="G93" s="405" t="s">
        <v>291</v>
      </c>
      <c r="H93" s="333"/>
      <c r="I93" s="587"/>
    </row>
    <row r="94" spans="1:12" s="334" customFormat="1" x14ac:dyDescent="0.2">
      <c r="A94" s="620" t="s">
        <v>94</v>
      </c>
      <c r="B94" s="502">
        <v>32472000</v>
      </c>
      <c r="C94" s="502">
        <v>49472711.899999999</v>
      </c>
      <c r="D94" s="503">
        <v>42228241.149999999</v>
      </c>
      <c r="E94" s="335">
        <f t="shared" si="16"/>
        <v>85.356633037130919</v>
      </c>
      <c r="F94" s="322">
        <v>100917</v>
      </c>
      <c r="G94" s="332" t="s">
        <v>43</v>
      </c>
      <c r="H94" s="333"/>
    </row>
    <row r="95" spans="1:12" s="334" customFormat="1" x14ac:dyDescent="0.2">
      <c r="A95" s="623"/>
      <c r="B95" s="502">
        <v>48364000</v>
      </c>
      <c r="C95" s="502">
        <v>28607661.719999999</v>
      </c>
      <c r="D95" s="503">
        <v>28607661.719999999</v>
      </c>
      <c r="E95" s="335">
        <f t="shared" si="16"/>
        <v>100</v>
      </c>
      <c r="F95" s="322">
        <v>100917</v>
      </c>
      <c r="G95" s="405" t="s">
        <v>291</v>
      </c>
      <c r="H95" s="333"/>
    </row>
    <row r="96" spans="1:12" s="334" customFormat="1" x14ac:dyDescent="0.2">
      <c r="A96" s="420" t="s">
        <v>95</v>
      </c>
      <c r="B96" s="502">
        <v>900000</v>
      </c>
      <c r="C96" s="502">
        <v>900000</v>
      </c>
      <c r="D96" s="503">
        <v>66550</v>
      </c>
      <c r="E96" s="421">
        <f>D96/C96*100</f>
        <v>7.3944444444444439</v>
      </c>
      <c r="F96" s="322">
        <v>100918</v>
      </c>
      <c r="G96" s="332" t="s">
        <v>43</v>
      </c>
      <c r="H96" s="333"/>
    </row>
    <row r="97" spans="1:13" s="336" customFormat="1" x14ac:dyDescent="0.2">
      <c r="A97" s="560" t="s">
        <v>66</v>
      </c>
      <c r="B97" s="453">
        <v>0</v>
      </c>
      <c r="C97" s="418">
        <v>562326</v>
      </c>
      <c r="D97" s="418">
        <v>143623</v>
      </c>
      <c r="E97" s="421">
        <f t="shared" ref="E97:E100" si="17">D97/C97*100</f>
        <v>25.540878422836577</v>
      </c>
      <c r="F97" s="322">
        <v>100930</v>
      </c>
      <c r="G97" s="332" t="s">
        <v>43</v>
      </c>
    </row>
    <row r="98" spans="1:13" s="336" customFormat="1" x14ac:dyDescent="0.2">
      <c r="A98" s="620" t="s">
        <v>171</v>
      </c>
      <c r="B98" s="453">
        <v>6900000</v>
      </c>
      <c r="C98" s="418">
        <v>11783394.26</v>
      </c>
      <c r="D98" s="418">
        <v>11783394.26</v>
      </c>
      <c r="E98" s="421">
        <f t="shared" si="17"/>
        <v>100</v>
      </c>
      <c r="F98" s="322">
        <v>100956</v>
      </c>
      <c r="G98" s="332" t="s">
        <v>43</v>
      </c>
    </row>
    <row r="99" spans="1:13" s="336" customFormat="1" x14ac:dyDescent="0.2">
      <c r="A99" s="621"/>
      <c r="B99" s="454">
        <v>8100000</v>
      </c>
      <c r="C99" s="307">
        <v>7741985.2599999998</v>
      </c>
      <c r="D99" s="307">
        <v>7741985.2599999998</v>
      </c>
      <c r="E99" s="331">
        <f t="shared" si="17"/>
        <v>100</v>
      </c>
      <c r="F99" s="322">
        <v>100956</v>
      </c>
      <c r="G99" s="405" t="s">
        <v>341</v>
      </c>
      <c r="I99" s="586"/>
    </row>
    <row r="100" spans="1:13" s="336" customFormat="1" ht="13.5" thickBot="1" x14ac:dyDescent="0.25">
      <c r="A100" s="543" t="s">
        <v>340</v>
      </c>
      <c r="B100" s="456">
        <v>100000</v>
      </c>
      <c r="C100" s="419">
        <v>348328.1</v>
      </c>
      <c r="D100" s="419">
        <v>348328.1</v>
      </c>
      <c r="E100" s="551">
        <f t="shared" si="17"/>
        <v>100</v>
      </c>
      <c r="F100" s="322">
        <v>101449</v>
      </c>
      <c r="G100" s="332" t="s">
        <v>43</v>
      </c>
    </row>
    <row r="101" spans="1:13" s="337" customFormat="1" ht="13.5" thickTop="1" x14ac:dyDescent="0.2">
      <c r="B101" s="459"/>
      <c r="E101" s="338"/>
      <c r="F101" s="339"/>
      <c r="G101" s="340"/>
      <c r="H101" s="340"/>
    </row>
    <row r="102" spans="1:13" s="337" customFormat="1" ht="15.75" thickBot="1" x14ac:dyDescent="0.25">
      <c r="A102" s="341" t="s">
        <v>44</v>
      </c>
      <c r="B102" s="242"/>
      <c r="C102" s="342"/>
      <c r="D102" s="342"/>
      <c r="E102" s="343" t="s">
        <v>18</v>
      </c>
      <c r="F102" s="339"/>
      <c r="G102" s="340"/>
      <c r="H102" s="340"/>
    </row>
    <row r="103" spans="1:13" s="337" customFormat="1" ht="14.25" thickTop="1" thickBot="1" x14ac:dyDescent="0.25">
      <c r="A103" s="344" t="s">
        <v>5</v>
      </c>
      <c r="B103" s="255" t="s">
        <v>0</v>
      </c>
      <c r="C103" s="345" t="s">
        <v>1</v>
      </c>
      <c r="D103" s="346" t="s">
        <v>4</v>
      </c>
      <c r="E103" s="347" t="s">
        <v>6</v>
      </c>
      <c r="F103" s="339"/>
      <c r="G103" s="340"/>
      <c r="H103" s="340"/>
    </row>
    <row r="104" spans="1:13" s="337" customFormat="1" ht="15.75" thickTop="1" x14ac:dyDescent="0.2">
      <c r="A104" s="348" t="s">
        <v>11</v>
      </c>
      <c r="B104" s="462">
        <f>SUM(B105:B107)</f>
        <v>40722000</v>
      </c>
      <c r="C104" s="349">
        <f>SUM(C105:C107)</f>
        <v>653069941.66999996</v>
      </c>
      <c r="D104" s="349">
        <f>SUM(D105:D107)</f>
        <v>653069941.67000008</v>
      </c>
      <c r="E104" s="350">
        <f t="shared" ref="E104:E107" si="18">D104/C104*100</f>
        <v>100.00000000000003</v>
      </c>
      <c r="F104" s="339"/>
      <c r="G104" s="351" t="s">
        <v>80</v>
      </c>
      <c r="H104" s="340"/>
    </row>
    <row r="105" spans="1:13" s="337" customFormat="1" x14ac:dyDescent="0.2">
      <c r="A105" s="618" t="s">
        <v>168</v>
      </c>
      <c r="B105" s="455">
        <v>0</v>
      </c>
      <c r="C105" s="501">
        <v>266642369.66999999</v>
      </c>
      <c r="D105" s="501">
        <f>14813464.99+251828904.68</f>
        <v>266642369.67000002</v>
      </c>
      <c r="E105" s="335">
        <f t="shared" si="18"/>
        <v>100.00000000000003</v>
      </c>
      <c r="F105" s="322">
        <v>1600</v>
      </c>
      <c r="G105" s="351" t="s">
        <v>276</v>
      </c>
      <c r="H105" s="340"/>
      <c r="I105" s="332" t="s">
        <v>37</v>
      </c>
      <c r="J105" s="403">
        <f>B90+B92+B94+B96+B97+B98+B100</f>
        <v>83502000</v>
      </c>
      <c r="K105" s="403">
        <f>C90+C92+C94+C96+C97+C98+C100</f>
        <v>91719952.790000007</v>
      </c>
      <c r="L105" s="403">
        <f>D90+D92+D94+D96+D97+D98+D100</f>
        <v>71499748.739999995</v>
      </c>
    </row>
    <row r="106" spans="1:13" s="337" customFormat="1" x14ac:dyDescent="0.2">
      <c r="A106" s="618"/>
      <c r="B106" s="453">
        <v>40722000</v>
      </c>
      <c r="C106" s="552">
        <v>26649481.109999999</v>
      </c>
      <c r="D106" s="552">
        <f>7597479.91+19052001.2</f>
        <v>26649481.109999999</v>
      </c>
      <c r="E106" s="421">
        <f t="shared" ref="E106" si="19">D106/C106*100</f>
        <v>100</v>
      </c>
      <c r="F106" s="322">
        <v>1600</v>
      </c>
      <c r="G106" s="351" t="s">
        <v>222</v>
      </c>
      <c r="H106" s="340"/>
      <c r="J106" s="500">
        <f>B91+B93+B95+B99</f>
        <v>274199000</v>
      </c>
      <c r="K106" s="500">
        <f>C91+C93+C95+C99</f>
        <v>188879668.66999999</v>
      </c>
      <c r="L106" s="500">
        <f>D91+D93+D95+D99</f>
        <v>182306911.39999998</v>
      </c>
    </row>
    <row r="107" spans="1:13" s="337" customFormat="1" ht="13.5" thickBot="1" x14ac:dyDescent="0.25">
      <c r="A107" s="619"/>
      <c r="B107" s="549">
        <v>0</v>
      </c>
      <c r="C107" s="550">
        <v>359778090.88999999</v>
      </c>
      <c r="D107" s="550">
        <v>359778090.88999999</v>
      </c>
      <c r="E107" s="551">
        <f t="shared" si="18"/>
        <v>100</v>
      </c>
      <c r="F107" s="322">
        <v>1600</v>
      </c>
      <c r="G107" s="351" t="s">
        <v>277</v>
      </c>
      <c r="H107" s="340"/>
      <c r="I107" s="285" t="s">
        <v>33</v>
      </c>
      <c r="J107" s="319">
        <f t="shared" ref="J107:L108" si="20">B104</f>
        <v>40722000</v>
      </c>
      <c r="K107" s="319">
        <f t="shared" si="20"/>
        <v>653069941.66999996</v>
      </c>
      <c r="L107" s="319">
        <f t="shared" si="20"/>
        <v>653069941.67000008</v>
      </c>
    </row>
    <row r="108" spans="1:13" s="337" customFormat="1" ht="13.5" thickTop="1" x14ac:dyDescent="0.2">
      <c r="A108" s="352"/>
      <c r="B108" s="459"/>
      <c r="E108" s="338"/>
      <c r="F108" s="353"/>
      <c r="G108" s="351"/>
      <c r="H108" s="340"/>
      <c r="I108" s="240"/>
      <c r="J108" s="499">
        <f t="shared" si="20"/>
        <v>0</v>
      </c>
      <c r="K108" s="499">
        <f t="shared" si="20"/>
        <v>266642369.66999999</v>
      </c>
      <c r="L108" s="499">
        <f t="shared" si="20"/>
        <v>266642369.67000002</v>
      </c>
    </row>
    <row r="109" spans="1:13" s="320" customFormat="1" x14ac:dyDescent="0.2">
      <c r="B109" s="459"/>
      <c r="E109" s="279"/>
      <c r="F109" s="321"/>
      <c r="G109" s="262"/>
      <c r="J109" s="499">
        <f>B107</f>
        <v>0</v>
      </c>
      <c r="K109" s="499">
        <f>C107</f>
        <v>359778090.88999999</v>
      </c>
      <c r="L109" s="499">
        <f>D107</f>
        <v>359778090.88999999</v>
      </c>
      <c r="M109" s="320" t="s">
        <v>273</v>
      </c>
    </row>
    <row r="110" spans="1:13" s="300" customFormat="1" ht="18.75" thickBot="1" x14ac:dyDescent="0.3">
      <c r="A110" s="295" t="s">
        <v>24</v>
      </c>
      <c r="B110" s="458">
        <f>SUM(,B89,B104)</f>
        <v>398423000</v>
      </c>
      <c r="C110" s="296">
        <f>SUM(,C89,C104)</f>
        <v>933669563.13</v>
      </c>
      <c r="D110" s="296">
        <f>SUM(,D89,D104)</f>
        <v>906876601.81000006</v>
      </c>
      <c r="E110" s="297">
        <f>D110/C110*100</f>
        <v>97.130359350027419</v>
      </c>
      <c r="F110" s="355"/>
      <c r="G110" s="299"/>
      <c r="I110" s="320"/>
      <c r="J110" s="354">
        <f>SUM(J105:J107)</f>
        <v>398423000</v>
      </c>
      <c r="K110" s="354">
        <f>SUM(K105:K107)</f>
        <v>933669563.12999988</v>
      </c>
      <c r="L110" s="354">
        <f>SUM(L105:L107)</f>
        <v>906876601.81000006</v>
      </c>
    </row>
    <row r="111" spans="1:13" s="320" customFormat="1" ht="13.5" thickTop="1" x14ac:dyDescent="0.2">
      <c r="B111" s="459"/>
      <c r="E111" s="279"/>
      <c r="F111" s="321"/>
      <c r="G111" s="262"/>
      <c r="H111" s="262"/>
    </row>
    <row r="112" spans="1:13" s="320" customFormat="1" x14ac:dyDescent="0.2">
      <c r="B112" s="459"/>
      <c r="E112" s="279"/>
      <c r="F112" s="321"/>
      <c r="G112" s="262"/>
    </row>
    <row r="113" spans="1:12" s="320" customFormat="1" x14ac:dyDescent="0.2">
      <c r="B113" s="459"/>
      <c r="E113" s="279"/>
      <c r="F113" s="321"/>
      <c r="G113" s="262"/>
    </row>
    <row r="114" spans="1:12" ht="15" customHeight="1" x14ac:dyDescent="0.25">
      <c r="A114" s="250" t="s">
        <v>30</v>
      </c>
      <c r="B114" s="242"/>
    </row>
    <row r="115" spans="1:12" ht="15" customHeight="1" thickBot="1" x14ac:dyDescent="0.3">
      <c r="A115" s="251" t="s">
        <v>178</v>
      </c>
      <c r="B115" s="242"/>
      <c r="E115" s="253" t="s">
        <v>18</v>
      </c>
    </row>
    <row r="116" spans="1:12" ht="14.25" thickTop="1" thickBot="1" x14ac:dyDescent="0.25">
      <c r="A116" s="254" t="s">
        <v>5</v>
      </c>
      <c r="B116" s="255" t="s">
        <v>0</v>
      </c>
      <c r="C116" s="256" t="s">
        <v>1</v>
      </c>
      <c r="D116" s="257" t="s">
        <v>4</v>
      </c>
      <c r="E116" s="258" t="s">
        <v>6</v>
      </c>
    </row>
    <row r="117" spans="1:12" ht="15.75" thickTop="1" x14ac:dyDescent="0.2">
      <c r="A117" s="591" t="s">
        <v>10</v>
      </c>
      <c r="B117" s="592">
        <f>SUM(B118:B125)</f>
        <v>109714000</v>
      </c>
      <c r="C117" s="592">
        <f>SUM(C118:C125)</f>
        <v>115032939.95999999</v>
      </c>
      <c r="D117" s="592">
        <f>SUM(D118:D125)</f>
        <v>112976624.61</v>
      </c>
      <c r="E117" s="593">
        <f t="shared" ref="E117" si="21">D117/C117*100</f>
        <v>98.21241172249006</v>
      </c>
      <c r="F117" s="247"/>
    </row>
    <row r="118" spans="1:12" s="5" customFormat="1" x14ac:dyDescent="0.2">
      <c r="A118" s="624" t="s">
        <v>69</v>
      </c>
      <c r="B118" s="413">
        <v>10000000</v>
      </c>
      <c r="C118" s="237">
        <v>10000000</v>
      </c>
      <c r="D118" s="237">
        <v>10000000</v>
      </c>
      <c r="E118" s="220">
        <f t="shared" ref="E118:E125" si="22">D118/C118*100</f>
        <v>100</v>
      </c>
      <c r="F118" s="84">
        <v>101093</v>
      </c>
      <c r="G118" s="405" t="s">
        <v>292</v>
      </c>
      <c r="H118" s="38"/>
    </row>
    <row r="119" spans="1:12" s="5" customFormat="1" x14ac:dyDescent="0.2">
      <c r="A119" s="625"/>
      <c r="B119" s="413">
        <v>93464000</v>
      </c>
      <c r="C119" s="451">
        <f>319341.61+100744517.99</f>
        <v>101063859.59999999</v>
      </c>
      <c r="D119" s="451">
        <v>100803841.95999999</v>
      </c>
      <c r="E119" s="220">
        <f t="shared" si="22"/>
        <v>99.742719463684523</v>
      </c>
      <c r="F119" s="84">
        <v>101093</v>
      </c>
      <c r="G119" s="269" t="s">
        <v>373</v>
      </c>
      <c r="H119" s="38"/>
    </row>
    <row r="120" spans="1:12" x14ac:dyDescent="0.2">
      <c r="A120" s="594" t="s">
        <v>342</v>
      </c>
      <c r="B120" s="453">
        <v>0</v>
      </c>
      <c r="C120" s="422">
        <v>1515000</v>
      </c>
      <c r="D120" s="422">
        <v>1428105.65</v>
      </c>
      <c r="E120" s="417">
        <f t="shared" si="22"/>
        <v>94.264399339933988</v>
      </c>
      <c r="F120" s="270">
        <v>101441</v>
      </c>
      <c r="G120" s="269" t="s">
        <v>86</v>
      </c>
    </row>
    <row r="121" spans="1:12" s="320" customFormat="1" x14ac:dyDescent="0.2">
      <c r="A121" s="563" t="s">
        <v>343</v>
      </c>
      <c r="B121" s="453">
        <v>0</v>
      </c>
      <c r="C121" s="422">
        <v>60774</v>
      </c>
      <c r="D121" s="422">
        <v>60774</v>
      </c>
      <c r="E121" s="417">
        <f t="shared" si="22"/>
        <v>100</v>
      </c>
      <c r="F121" s="270">
        <v>101324</v>
      </c>
      <c r="G121" s="269" t="s">
        <v>329</v>
      </c>
      <c r="H121" s="262"/>
    </row>
    <row r="122" spans="1:12" s="5" customFormat="1" x14ac:dyDescent="0.2">
      <c r="A122" s="491" t="s">
        <v>298</v>
      </c>
      <c r="B122" s="492">
        <v>4000000</v>
      </c>
      <c r="C122" s="493">
        <f>87000+341306.36</f>
        <v>428306.36</v>
      </c>
      <c r="D122" s="493">
        <v>17798</v>
      </c>
      <c r="E122" s="490">
        <f t="shared" si="22"/>
        <v>4.1554367766100881</v>
      </c>
      <c r="F122" s="84">
        <v>101486</v>
      </c>
      <c r="G122" s="141" t="s">
        <v>293</v>
      </c>
      <c r="H122" s="38"/>
    </row>
    <row r="123" spans="1:12" s="5" customFormat="1" x14ac:dyDescent="0.2">
      <c r="A123" s="236" t="s">
        <v>299</v>
      </c>
      <c r="B123" s="413">
        <v>750000</v>
      </c>
      <c r="C123" s="237">
        <v>354540</v>
      </c>
      <c r="D123" s="237">
        <v>0</v>
      </c>
      <c r="E123" s="220">
        <f t="shared" si="22"/>
        <v>0</v>
      </c>
      <c r="F123" s="84">
        <v>101491</v>
      </c>
      <c r="G123" s="141" t="s">
        <v>294</v>
      </c>
      <c r="H123" s="38"/>
    </row>
    <row r="124" spans="1:12" s="5" customFormat="1" x14ac:dyDescent="0.2">
      <c r="A124" s="236" t="s">
        <v>300</v>
      </c>
      <c r="B124" s="413">
        <v>750000</v>
      </c>
      <c r="C124" s="237">
        <v>750000</v>
      </c>
      <c r="D124" s="237">
        <v>0</v>
      </c>
      <c r="E124" s="220">
        <f t="shared" si="22"/>
        <v>0</v>
      </c>
      <c r="F124" s="84">
        <v>101492</v>
      </c>
      <c r="G124" s="141" t="s">
        <v>295</v>
      </c>
      <c r="H124" s="38"/>
    </row>
    <row r="125" spans="1:12" s="5" customFormat="1" ht="13.5" thickBot="1" x14ac:dyDescent="0.25">
      <c r="A125" s="565" t="s">
        <v>301</v>
      </c>
      <c r="B125" s="414">
        <v>750000</v>
      </c>
      <c r="C125" s="412">
        <v>860460</v>
      </c>
      <c r="D125" s="412">
        <v>666105</v>
      </c>
      <c r="E125" s="225">
        <f t="shared" si="22"/>
        <v>77.412662994212397</v>
      </c>
      <c r="F125" s="84">
        <v>101493</v>
      </c>
      <c r="G125" s="141" t="s">
        <v>295</v>
      </c>
      <c r="H125" s="38"/>
    </row>
    <row r="126" spans="1:12" s="320" customFormat="1" ht="13.5" thickTop="1" x14ac:dyDescent="0.2">
      <c r="B126" s="459"/>
      <c r="E126" s="279"/>
      <c r="F126" s="321"/>
      <c r="G126" s="262"/>
      <c r="H126" s="262"/>
      <c r="I126" s="316" t="s">
        <v>39</v>
      </c>
      <c r="J126" s="292">
        <f>B120+B121+B123+B124+B125+B122+B119</f>
        <v>99714000</v>
      </c>
      <c r="K126" s="292">
        <f>C120+C121+C123+C124+C125+C122+C119</f>
        <v>105032939.95999999</v>
      </c>
      <c r="L126" s="292">
        <f>D120+D121+D123+D124+D125+D122+D119</f>
        <v>102976624.61</v>
      </c>
    </row>
    <row r="127" spans="1:12" s="320" customFormat="1" x14ac:dyDescent="0.2">
      <c r="B127" s="460"/>
      <c r="C127" s="325"/>
      <c r="D127" s="325"/>
      <c r="E127" s="279"/>
      <c r="F127" s="321"/>
      <c r="G127" s="262"/>
      <c r="H127" s="262"/>
      <c r="J127" s="500">
        <f>B118</f>
        <v>10000000</v>
      </c>
      <c r="K127" s="500">
        <f>C118</f>
        <v>10000000</v>
      </c>
      <c r="L127" s="500">
        <f>D118</f>
        <v>10000000</v>
      </c>
    </row>
    <row r="128" spans="1:12" s="320" customFormat="1" ht="18.75" thickBot="1" x14ac:dyDescent="0.3">
      <c r="A128" s="295" t="s">
        <v>23</v>
      </c>
      <c r="B128" s="458">
        <f>SUM(B117)</f>
        <v>109714000</v>
      </c>
      <c r="C128" s="458">
        <f>SUM(C117)</f>
        <v>115032939.95999999</v>
      </c>
      <c r="D128" s="458">
        <f>SUM(D117)</f>
        <v>112976624.61</v>
      </c>
      <c r="E128" s="297">
        <f>D128/C128*100</f>
        <v>98.21241172249006</v>
      </c>
      <c r="F128" s="321"/>
      <c r="G128" s="262"/>
      <c r="H128" s="262"/>
      <c r="I128" s="404"/>
      <c r="J128" s="271">
        <f>J126+J127</f>
        <v>109714000</v>
      </c>
      <c r="K128" s="271">
        <f t="shared" ref="K128:L128" si="23">K126+K127</f>
        <v>115032939.95999999</v>
      </c>
      <c r="L128" s="271">
        <f t="shared" si="23"/>
        <v>112976624.61</v>
      </c>
    </row>
    <row r="129" spans="1:12" s="320" customFormat="1" ht="13.5" thickTop="1" x14ac:dyDescent="0.2">
      <c r="B129" s="459"/>
      <c r="E129" s="279"/>
      <c r="F129" s="321"/>
      <c r="G129" s="262"/>
      <c r="H129" s="262"/>
      <c r="I129" s="285"/>
    </row>
    <row r="130" spans="1:12" s="320" customFormat="1" x14ac:dyDescent="0.2">
      <c r="B130" s="459"/>
      <c r="E130" s="279"/>
      <c r="F130" s="321"/>
      <c r="G130" s="262"/>
      <c r="H130" s="262"/>
    </row>
    <row r="131" spans="1:12" s="320" customFormat="1" ht="18" x14ac:dyDescent="0.25">
      <c r="A131" s="238" t="s">
        <v>51</v>
      </c>
      <c r="B131" s="463"/>
      <c r="C131" s="359"/>
      <c r="D131" s="360"/>
      <c r="E131" s="359"/>
      <c r="F131" s="321"/>
      <c r="G131" s="262"/>
      <c r="H131" s="262"/>
    </row>
    <row r="132" spans="1:12" s="320" customFormat="1" ht="15.75" thickBot="1" x14ac:dyDescent="0.3">
      <c r="A132" s="251" t="s">
        <v>174</v>
      </c>
      <c r="B132" s="463"/>
      <c r="C132" s="359"/>
      <c r="D132" s="360"/>
      <c r="E132" s="359" t="s">
        <v>18</v>
      </c>
      <c r="F132" s="321"/>
      <c r="G132" s="262"/>
      <c r="H132" s="262"/>
    </row>
    <row r="133" spans="1:12" s="320" customFormat="1" ht="14.25" thickTop="1" thickBot="1" x14ac:dyDescent="0.25">
      <c r="A133" s="361" t="s">
        <v>5</v>
      </c>
      <c r="B133" s="255" t="s">
        <v>0</v>
      </c>
      <c r="C133" s="256" t="s">
        <v>1</v>
      </c>
      <c r="D133" s="257" t="s">
        <v>4</v>
      </c>
      <c r="E133" s="258" t="s">
        <v>6</v>
      </c>
      <c r="F133" s="321"/>
      <c r="G133" s="262"/>
      <c r="H133" s="262"/>
    </row>
    <row r="134" spans="1:12" s="320" customFormat="1" ht="15.75" thickTop="1" x14ac:dyDescent="0.25">
      <c r="A134" s="313" t="s">
        <v>52</v>
      </c>
      <c r="B134" s="362">
        <f>SUM(B135:B136)</f>
        <v>4457000</v>
      </c>
      <c r="C134" s="362">
        <f t="shared" ref="C134" si="24">SUM(C135:C136)</f>
        <v>2816220</v>
      </c>
      <c r="D134" s="362">
        <f>SUM(D135:D136)</f>
        <v>2718440</v>
      </c>
      <c r="E134" s="363">
        <v>0</v>
      </c>
      <c r="F134" s="321"/>
      <c r="G134" s="262"/>
      <c r="H134" s="262"/>
    </row>
    <row r="135" spans="1:12" s="320" customFormat="1" x14ac:dyDescent="0.2">
      <c r="A135" s="583" t="s">
        <v>345</v>
      </c>
      <c r="B135" s="366">
        <v>1457000</v>
      </c>
      <c r="C135" s="366">
        <v>2816220</v>
      </c>
      <c r="D135" s="366">
        <v>2718440</v>
      </c>
      <c r="E135" s="268"/>
      <c r="F135" s="365">
        <v>101454</v>
      </c>
      <c r="G135" s="262"/>
      <c r="H135" s="262"/>
    </row>
    <row r="136" spans="1:12" s="320" customFormat="1" ht="13.5" thickBot="1" x14ac:dyDescent="0.25">
      <c r="A136" s="568" t="s">
        <v>346</v>
      </c>
      <c r="B136" s="426">
        <v>3000000</v>
      </c>
      <c r="C136" s="426">
        <v>0</v>
      </c>
      <c r="D136" s="426">
        <v>0</v>
      </c>
      <c r="E136" s="399">
        <v>0</v>
      </c>
      <c r="F136" s="365">
        <v>101495</v>
      </c>
      <c r="G136" s="356" t="s">
        <v>221</v>
      </c>
    </row>
    <row r="137" spans="1:12" s="320" customFormat="1" ht="15" customHeight="1" thickTop="1" x14ac:dyDescent="0.2">
      <c r="A137" s="425"/>
      <c r="B137" s="324"/>
      <c r="C137" s="324"/>
      <c r="D137" s="324"/>
      <c r="E137" s="364"/>
      <c r="F137" s="365"/>
      <c r="G137" s="356"/>
    </row>
    <row r="138" spans="1:12" s="320" customFormat="1" ht="15" customHeight="1" x14ac:dyDescent="0.2">
      <c r="A138" s="425"/>
      <c r="B138" s="324"/>
      <c r="C138" s="324"/>
      <c r="D138" s="324"/>
      <c r="E138" s="364"/>
      <c r="F138" s="365"/>
      <c r="G138" s="356"/>
      <c r="I138" s="317" t="s">
        <v>35</v>
      </c>
      <c r="J138" s="318">
        <f>B136+B135</f>
        <v>4457000</v>
      </c>
      <c r="K138" s="318">
        <f t="shared" ref="K138:L138" si="25">C136+C135</f>
        <v>2816220</v>
      </c>
      <c r="L138" s="318">
        <f t="shared" si="25"/>
        <v>2718440</v>
      </c>
    </row>
    <row r="139" spans="1:12" s="320" customFormat="1" ht="18.75" thickBot="1" x14ac:dyDescent="0.25">
      <c r="A139" s="423" t="s">
        <v>53</v>
      </c>
      <c r="B139" s="464">
        <f>B134</f>
        <v>4457000</v>
      </c>
      <c r="C139" s="368">
        <f>C134</f>
        <v>2816220</v>
      </c>
      <c r="D139" s="368">
        <f>D134</f>
        <v>2718440</v>
      </c>
      <c r="E139" s="424">
        <f>D139/C139*100</f>
        <v>96.527970115971044</v>
      </c>
      <c r="F139" s="321"/>
      <c r="G139" s="262"/>
      <c r="J139" s="358">
        <f>J138</f>
        <v>4457000</v>
      </c>
      <c r="K139" s="358">
        <f t="shared" ref="K139:L139" si="26">K138</f>
        <v>2816220</v>
      </c>
      <c r="L139" s="358">
        <f t="shared" si="26"/>
        <v>2718440</v>
      </c>
    </row>
    <row r="140" spans="1:12" s="320" customFormat="1" ht="13.5" thickTop="1" x14ac:dyDescent="0.2">
      <c r="B140" s="459"/>
      <c r="E140" s="279"/>
      <c r="F140" s="321"/>
      <c r="G140" s="262"/>
    </row>
    <row r="141" spans="1:12" s="320" customFormat="1" x14ac:dyDescent="0.2">
      <c r="B141" s="459"/>
      <c r="E141" s="279"/>
      <c r="F141" s="321"/>
      <c r="G141" s="262"/>
    </row>
    <row r="142" spans="1:12" s="320" customFormat="1" ht="18" x14ac:dyDescent="0.25">
      <c r="A142" s="238" t="s">
        <v>348</v>
      </c>
      <c r="B142" s="463"/>
      <c r="C142" s="359"/>
      <c r="D142" s="360"/>
      <c r="E142" s="359"/>
      <c r="F142" s="321"/>
      <c r="G142" s="262"/>
      <c r="H142" s="262"/>
    </row>
    <row r="143" spans="1:12" s="320" customFormat="1" ht="15.75" thickBot="1" x14ac:dyDescent="0.3">
      <c r="A143" s="251" t="s">
        <v>174</v>
      </c>
      <c r="B143" s="463"/>
      <c r="C143" s="359"/>
      <c r="D143" s="360"/>
      <c r="E143" s="359" t="s">
        <v>18</v>
      </c>
      <c r="F143" s="321"/>
      <c r="G143" s="262"/>
      <c r="H143" s="262"/>
    </row>
    <row r="144" spans="1:12" s="320" customFormat="1" ht="14.25" thickTop="1" thickBot="1" x14ac:dyDescent="0.25">
      <c r="A144" s="361" t="s">
        <v>5</v>
      </c>
      <c r="B144" s="255" t="s">
        <v>0</v>
      </c>
      <c r="C144" s="256" t="s">
        <v>1</v>
      </c>
      <c r="D144" s="257" t="s">
        <v>4</v>
      </c>
      <c r="E144" s="258" t="s">
        <v>6</v>
      </c>
      <c r="F144" s="321"/>
      <c r="G144" s="262"/>
      <c r="H144" s="262"/>
    </row>
    <row r="145" spans="1:12" s="320" customFormat="1" ht="15.75" thickTop="1" x14ac:dyDescent="0.25">
      <c r="A145" s="369" t="s">
        <v>175</v>
      </c>
      <c r="B145" s="370">
        <f>SUM(B146:B150)</f>
        <v>8096000</v>
      </c>
      <c r="C145" s="370">
        <f>SUM(C146:C150)</f>
        <v>5517526.4800000004</v>
      </c>
      <c r="D145" s="370">
        <f>SUM(D146:D150)</f>
        <v>5074587.46</v>
      </c>
      <c r="E145" s="284">
        <f>D145/C145*100</f>
        <v>91.972145097888131</v>
      </c>
      <c r="F145" s="321"/>
      <c r="G145" s="262"/>
      <c r="H145" s="262"/>
    </row>
    <row r="146" spans="1:12" s="320" customFormat="1" x14ac:dyDescent="0.2">
      <c r="A146" s="614" t="s">
        <v>228</v>
      </c>
      <c r="B146" s="366">
        <v>0</v>
      </c>
      <c r="C146" s="366">
        <v>175450</v>
      </c>
      <c r="D146" s="366">
        <v>175450</v>
      </c>
      <c r="E146" s="268">
        <f>D146/C146*100</f>
        <v>100</v>
      </c>
      <c r="F146" s="365">
        <v>101429</v>
      </c>
      <c r="G146" s="356" t="s">
        <v>221</v>
      </c>
      <c r="H146" s="262"/>
    </row>
    <row r="147" spans="1:12" s="320" customFormat="1" x14ac:dyDescent="0.2">
      <c r="A147" s="614"/>
      <c r="B147" s="366">
        <v>4096000</v>
      </c>
      <c r="C147" s="366">
        <v>3918982.56</v>
      </c>
      <c r="D147" s="366">
        <v>3476043.56</v>
      </c>
      <c r="E147" s="268">
        <f>D147/C147*100</f>
        <v>88.697602165394684</v>
      </c>
      <c r="F147" s="365">
        <v>101429</v>
      </c>
      <c r="G147" s="356" t="s">
        <v>279</v>
      </c>
      <c r="H147" s="262"/>
    </row>
    <row r="148" spans="1:12" s="320" customFormat="1" x14ac:dyDescent="0.2">
      <c r="A148" s="612"/>
      <c r="B148" s="366">
        <v>0</v>
      </c>
      <c r="C148" s="366">
        <v>1423093.92</v>
      </c>
      <c r="D148" s="366">
        <v>1423093.9</v>
      </c>
      <c r="E148" s="268">
        <f>D148/C148*100</f>
        <v>99.999998594611384</v>
      </c>
      <c r="F148" s="365">
        <v>101429</v>
      </c>
      <c r="G148" s="356" t="s">
        <v>347</v>
      </c>
      <c r="H148" s="262"/>
    </row>
    <row r="149" spans="1:12" s="320" customFormat="1" x14ac:dyDescent="0.2">
      <c r="A149" s="544" t="s">
        <v>270</v>
      </c>
      <c r="B149" s="497">
        <v>2000000</v>
      </c>
      <c r="C149" s="497">
        <v>0</v>
      </c>
      <c r="D149" s="497">
        <v>0</v>
      </c>
      <c r="E149" s="268">
        <v>0</v>
      </c>
      <c r="F149" s="365">
        <v>101434</v>
      </c>
      <c r="G149" s="356" t="s">
        <v>221</v>
      </c>
      <c r="H149" s="262"/>
    </row>
    <row r="150" spans="1:12" s="320" customFormat="1" ht="13.5" thickBot="1" x14ac:dyDescent="0.25">
      <c r="A150" s="532" t="s">
        <v>229</v>
      </c>
      <c r="B150" s="426">
        <v>2000000</v>
      </c>
      <c r="C150" s="426">
        <v>0</v>
      </c>
      <c r="D150" s="426">
        <v>0</v>
      </c>
      <c r="E150" s="399">
        <v>0</v>
      </c>
      <c r="F150" s="365">
        <v>101435</v>
      </c>
      <c r="G150" s="356" t="s">
        <v>221</v>
      </c>
      <c r="H150" s="262"/>
    </row>
    <row r="151" spans="1:12" s="320" customFormat="1" ht="15.75" thickTop="1" x14ac:dyDescent="0.25">
      <c r="A151" s="371"/>
      <c r="B151" s="372"/>
      <c r="C151" s="372"/>
      <c r="D151" s="372"/>
      <c r="E151" s="373"/>
      <c r="F151" s="321"/>
      <c r="G151" s="262"/>
      <c r="H151" s="262"/>
      <c r="I151" s="317" t="s">
        <v>35</v>
      </c>
      <c r="J151" s="318">
        <f>B146+B149+B150+B147</f>
        <v>8096000</v>
      </c>
      <c r="K151" s="318">
        <f t="shared" ref="K151:L151" si="27">C146+C149+C150+C147</f>
        <v>4094432.56</v>
      </c>
      <c r="L151" s="318">
        <f t="shared" si="27"/>
        <v>3651493.56</v>
      </c>
    </row>
    <row r="152" spans="1:12" s="320" customFormat="1" ht="15" x14ac:dyDescent="0.25">
      <c r="A152" s="371"/>
      <c r="B152" s="372"/>
      <c r="C152" s="372"/>
      <c r="D152" s="372"/>
      <c r="E152" s="373"/>
      <c r="F152" s="321"/>
      <c r="G152" s="262"/>
      <c r="H152" s="262"/>
      <c r="J152" s="499">
        <f>B148</f>
        <v>0</v>
      </c>
      <c r="K152" s="499">
        <f t="shared" ref="K152:L152" si="28">C148</f>
        <v>1423093.92</v>
      </c>
      <c r="L152" s="499">
        <f t="shared" si="28"/>
        <v>1423093.9</v>
      </c>
    </row>
    <row r="153" spans="1:12" s="320" customFormat="1" ht="18.75" thickBot="1" x14ac:dyDescent="0.25">
      <c r="A153" s="367" t="s">
        <v>176</v>
      </c>
      <c r="B153" s="368">
        <f>B145</f>
        <v>8096000</v>
      </c>
      <c r="C153" s="368">
        <f>C145</f>
        <v>5517526.4800000004</v>
      </c>
      <c r="D153" s="368">
        <f>D145</f>
        <v>5074587.46</v>
      </c>
      <c r="E153" s="297">
        <f>D153/C153*100</f>
        <v>91.972145097888131</v>
      </c>
      <c r="F153" s="321"/>
      <c r="G153" s="262"/>
      <c r="H153" s="262"/>
      <c r="J153" s="358">
        <f t="shared" ref="J153:K153" si="29">SUM(J151:J152)</f>
        <v>8096000</v>
      </c>
      <c r="K153" s="358">
        <f t="shared" si="29"/>
        <v>5517526.4800000004</v>
      </c>
      <c r="L153" s="358">
        <f>SUM(L151:L152)</f>
        <v>5074587.46</v>
      </c>
    </row>
    <row r="154" spans="1:12" s="320" customFormat="1" ht="18.75" thickTop="1" x14ac:dyDescent="0.2">
      <c r="A154" s="374"/>
      <c r="B154" s="375"/>
      <c r="C154" s="375"/>
      <c r="D154" s="375"/>
      <c r="E154" s="329"/>
      <c r="F154" s="321"/>
      <c r="G154" s="262"/>
      <c r="H154" s="262"/>
      <c r="J154" s="358"/>
      <c r="K154" s="358"/>
      <c r="L154" s="358"/>
    </row>
    <row r="155" spans="1:12" s="320" customFormat="1" ht="18" x14ac:dyDescent="0.2">
      <c r="A155" s="374"/>
      <c r="B155" s="375"/>
      <c r="C155" s="375"/>
      <c r="D155" s="375"/>
      <c r="E155" s="329"/>
      <c r="F155" s="321"/>
      <c r="G155" s="262"/>
      <c r="H155" s="262"/>
      <c r="J155" s="358"/>
      <c r="K155" s="358"/>
      <c r="L155" s="358"/>
    </row>
    <row r="156" spans="1:12" s="320" customFormat="1" ht="18" x14ac:dyDescent="0.25">
      <c r="A156" s="238" t="s">
        <v>349</v>
      </c>
      <c r="B156" s="463"/>
      <c r="C156" s="359"/>
      <c r="D156" s="360"/>
      <c r="E156" s="359"/>
      <c r="F156" s="321"/>
      <c r="G156" s="262"/>
      <c r="H156" s="262"/>
    </row>
    <row r="157" spans="1:12" s="320" customFormat="1" ht="15.75" thickBot="1" x14ac:dyDescent="0.3">
      <c r="A157" s="251" t="s">
        <v>174</v>
      </c>
      <c r="B157" s="463"/>
      <c r="C157" s="359"/>
      <c r="D157" s="360"/>
      <c r="E157" s="359" t="s">
        <v>18</v>
      </c>
      <c r="F157" s="321"/>
      <c r="G157" s="262"/>
      <c r="H157" s="262"/>
    </row>
    <row r="158" spans="1:12" s="320" customFormat="1" ht="14.25" thickTop="1" thickBot="1" x14ac:dyDescent="0.25">
      <c r="A158" s="361" t="s">
        <v>5</v>
      </c>
      <c r="B158" s="255" t="s">
        <v>0</v>
      </c>
      <c r="C158" s="256" t="s">
        <v>1</v>
      </c>
      <c r="D158" s="257" t="s">
        <v>4</v>
      </c>
      <c r="E158" s="258" t="s">
        <v>6</v>
      </c>
      <c r="F158" s="321"/>
      <c r="G158" s="262"/>
      <c r="H158" s="262"/>
    </row>
    <row r="159" spans="1:12" s="320" customFormat="1" ht="15.75" thickTop="1" x14ac:dyDescent="0.25">
      <c r="A159" s="369" t="s">
        <v>246</v>
      </c>
      <c r="B159" s="370">
        <f>SUM(B160:B161)</f>
        <v>40000000</v>
      </c>
      <c r="C159" s="370">
        <f t="shared" ref="C159:D159" si="30">SUM(C160:C161)</f>
        <v>1552540</v>
      </c>
      <c r="D159" s="370">
        <f t="shared" si="30"/>
        <v>659365</v>
      </c>
      <c r="E159" s="284">
        <f>D159/C159*100</f>
        <v>42.470081286150432</v>
      </c>
      <c r="F159" s="321"/>
      <c r="G159" s="262"/>
      <c r="H159" s="262"/>
    </row>
    <row r="160" spans="1:12" s="320" customFormat="1" x14ac:dyDescent="0.2">
      <c r="A160" s="612" t="s">
        <v>271</v>
      </c>
      <c r="B160" s="366">
        <v>6000000</v>
      </c>
      <c r="C160" s="366">
        <v>334702.5</v>
      </c>
      <c r="D160" s="366">
        <v>200726.25</v>
      </c>
      <c r="E160" s="268">
        <f t="shared" ref="E160" si="31">D160/C160*100</f>
        <v>59.971541891679927</v>
      </c>
      <c r="F160" s="270">
        <v>101477</v>
      </c>
      <c r="G160" s="356" t="s">
        <v>221</v>
      </c>
      <c r="H160" s="262"/>
    </row>
    <row r="161" spans="1:12" s="273" customFormat="1" ht="13.5" thickBot="1" x14ac:dyDescent="0.25">
      <c r="A161" s="613"/>
      <c r="B161" s="456">
        <v>34000000</v>
      </c>
      <c r="C161" s="419">
        <v>1217837.5</v>
      </c>
      <c r="D161" s="419">
        <v>458638.75</v>
      </c>
      <c r="E161" s="399">
        <f>D161/C161*100</f>
        <v>37.660094224393646</v>
      </c>
      <c r="F161" s="270">
        <v>101477</v>
      </c>
      <c r="G161" s="405" t="s">
        <v>302</v>
      </c>
      <c r="H161" s="274"/>
    </row>
    <row r="162" spans="1:12" ht="15.75" thickTop="1" x14ac:dyDescent="0.25">
      <c r="A162" s="371"/>
      <c r="B162" s="372"/>
      <c r="C162" s="372"/>
      <c r="D162" s="372"/>
      <c r="E162" s="373"/>
      <c r="F162" s="321"/>
      <c r="G162" s="262"/>
      <c r="H162" s="262"/>
      <c r="I162" s="317" t="s">
        <v>35</v>
      </c>
      <c r="J162" s="318">
        <f>B160</f>
        <v>6000000</v>
      </c>
      <c r="K162" s="318">
        <f>C160</f>
        <v>334702.5</v>
      </c>
      <c r="L162" s="318">
        <f>D160</f>
        <v>200726.25</v>
      </c>
    </row>
    <row r="163" spans="1:12" ht="15" x14ac:dyDescent="0.25">
      <c r="A163" s="371"/>
      <c r="B163" s="372"/>
      <c r="C163" s="372"/>
      <c r="D163" s="372"/>
      <c r="E163" s="373"/>
      <c r="F163" s="321"/>
      <c r="G163" s="262"/>
      <c r="H163" s="262"/>
      <c r="J163" s="500">
        <f>B161</f>
        <v>34000000</v>
      </c>
      <c r="K163" s="500">
        <f t="shared" ref="K163:L163" si="32">C161</f>
        <v>1217837.5</v>
      </c>
      <c r="L163" s="500">
        <f t="shared" si="32"/>
        <v>458638.75</v>
      </c>
    </row>
    <row r="164" spans="1:12" ht="18.75" thickBot="1" x14ac:dyDescent="0.25">
      <c r="A164" s="367" t="s">
        <v>244</v>
      </c>
      <c r="B164" s="368">
        <f>B159</f>
        <v>40000000</v>
      </c>
      <c r="C164" s="368">
        <f>C159</f>
        <v>1552540</v>
      </c>
      <c r="D164" s="368">
        <f>D159</f>
        <v>659365</v>
      </c>
      <c r="E164" s="297">
        <f>D164/C164*100</f>
        <v>42.470081286150432</v>
      </c>
      <c r="F164" s="588"/>
      <c r="G164" s="589"/>
      <c r="H164" s="589"/>
      <c r="I164" s="281"/>
      <c r="J164" s="590">
        <f>SUM(J162:J162)</f>
        <v>6000000</v>
      </c>
      <c r="K164" s="590">
        <f>SUM(K162:K162)</f>
        <v>334702.5</v>
      </c>
      <c r="L164" s="590">
        <f>SUM(L162:L162)</f>
        <v>200726.25</v>
      </c>
    </row>
    <row r="165" spans="1:12" ht="13.5" thickTop="1" x14ac:dyDescent="0.2">
      <c r="F165" s="377"/>
      <c r="G165" s="262"/>
      <c r="H165" s="262"/>
    </row>
    <row r="166" spans="1:12" x14ac:dyDescent="0.2">
      <c r="F166" s="377"/>
      <c r="G166" s="262"/>
      <c r="H166" s="262"/>
    </row>
    <row r="167" spans="1:12" ht="14.25" x14ac:dyDescent="0.2">
      <c r="A167" s="378" t="s">
        <v>12</v>
      </c>
      <c r="B167" s="378"/>
      <c r="C167" s="378"/>
      <c r="D167" s="378"/>
      <c r="E167" s="379"/>
      <c r="F167" s="380"/>
      <c r="G167" s="262"/>
      <c r="H167" s="262"/>
    </row>
    <row r="168" spans="1:12" ht="14.25" x14ac:dyDescent="0.2">
      <c r="A168" s="381" t="s">
        <v>16</v>
      </c>
      <c r="B168" s="376">
        <f>SUM(B36)</f>
        <v>29240000</v>
      </c>
      <c r="C168" s="376">
        <f>SUM(C36)</f>
        <v>32992395.699999999</v>
      </c>
      <c r="D168" s="376">
        <f>SUM(D36)</f>
        <v>26851147.439999998</v>
      </c>
      <c r="E168" s="382">
        <f t="shared" ref="E168:E176" si="33">D168/C168*100</f>
        <v>81.385867471273073</v>
      </c>
      <c r="F168" s="383"/>
      <c r="G168" s="262"/>
      <c r="H168" s="262"/>
    </row>
    <row r="169" spans="1:12" ht="14.25" x14ac:dyDescent="0.2">
      <c r="A169" s="381" t="s">
        <v>15</v>
      </c>
      <c r="B169" s="376">
        <f>SUM(B65)</f>
        <v>59960000</v>
      </c>
      <c r="C169" s="376">
        <f>SUM(C65)</f>
        <v>57454587.890000001</v>
      </c>
      <c r="D169" s="376">
        <f>SUM(D65)</f>
        <v>43031859.18</v>
      </c>
      <c r="E169" s="382">
        <f t="shared" si="33"/>
        <v>74.897167937897109</v>
      </c>
      <c r="F169" s="384"/>
      <c r="G169" s="262"/>
      <c r="H169" s="262"/>
    </row>
    <row r="170" spans="1:12" ht="14.25" x14ac:dyDescent="0.2">
      <c r="A170" s="381" t="s">
        <v>17</v>
      </c>
      <c r="B170" s="376">
        <f>SUM(B83)</f>
        <v>31323000</v>
      </c>
      <c r="C170" s="376">
        <f>SUM(C83)</f>
        <v>26789581.409999996</v>
      </c>
      <c r="D170" s="376">
        <f>SUM(D83)</f>
        <v>25891818.350000001</v>
      </c>
      <c r="E170" s="382">
        <f t="shared" si="33"/>
        <v>96.648835059196273</v>
      </c>
      <c r="G170" s="262"/>
      <c r="H170" s="262"/>
    </row>
    <row r="171" spans="1:12" ht="14.25" x14ac:dyDescent="0.2">
      <c r="A171" s="381" t="s">
        <v>13</v>
      </c>
      <c r="B171" s="376">
        <f>SUM(B110)</f>
        <v>398423000</v>
      </c>
      <c r="C171" s="376">
        <f>SUM(C110)</f>
        <v>933669563.13</v>
      </c>
      <c r="D171" s="376">
        <f>SUM(D110)</f>
        <v>906876601.81000006</v>
      </c>
      <c r="E171" s="382">
        <f t="shared" si="33"/>
        <v>97.130359350027419</v>
      </c>
      <c r="G171" s="262"/>
      <c r="H171" s="262"/>
    </row>
    <row r="172" spans="1:12" ht="14.25" x14ac:dyDescent="0.2">
      <c r="A172" s="381" t="s">
        <v>14</v>
      </c>
      <c r="B172" s="376">
        <f>SUM(B128)</f>
        <v>109714000</v>
      </c>
      <c r="C172" s="376">
        <f>SUM(C128)</f>
        <v>115032939.95999999</v>
      </c>
      <c r="D172" s="376">
        <f>SUM(D128)</f>
        <v>112976624.61</v>
      </c>
      <c r="E172" s="382">
        <f t="shared" si="33"/>
        <v>98.21241172249006</v>
      </c>
      <c r="G172" s="262"/>
      <c r="H172" s="262"/>
      <c r="I172" s="332" t="s">
        <v>37</v>
      </c>
      <c r="J172" s="403">
        <f>J105+J106</f>
        <v>357701000</v>
      </c>
      <c r="K172" s="403">
        <f>K105+K106</f>
        <v>280599621.45999998</v>
      </c>
      <c r="L172" s="403">
        <f>L105+L106</f>
        <v>253806660.13999999</v>
      </c>
    </row>
    <row r="173" spans="1:12" ht="14.25" x14ac:dyDescent="0.2">
      <c r="A173" s="381" t="s">
        <v>54</v>
      </c>
      <c r="B173" s="376">
        <f>B139</f>
        <v>4457000</v>
      </c>
      <c r="C173" s="376">
        <f>C139</f>
        <v>2816220</v>
      </c>
      <c r="D173" s="376">
        <f>D139</f>
        <v>2718440</v>
      </c>
      <c r="E173" s="382">
        <f t="shared" si="33"/>
        <v>96.527970115971044</v>
      </c>
      <c r="G173" s="262"/>
      <c r="H173" s="262"/>
      <c r="I173" s="266" t="s">
        <v>39</v>
      </c>
      <c r="J173" s="388">
        <f>J80+J81+J61+J62+J31+J32+J126+J127</f>
        <v>227737000</v>
      </c>
      <c r="K173" s="388">
        <f>K80+K81+K61+K62+K31+K32+K126+K127</f>
        <v>223919431.03999999</v>
      </c>
      <c r="L173" s="388">
        <f>L80+L81+L61+L62+L31+L32+L126+L127</f>
        <v>200783969.56999999</v>
      </c>
    </row>
    <row r="174" spans="1:12" ht="14.25" x14ac:dyDescent="0.2">
      <c r="A174" s="381" t="s">
        <v>177</v>
      </c>
      <c r="B174" s="376">
        <f>B153</f>
        <v>8096000</v>
      </c>
      <c r="C174" s="376">
        <f>C153</f>
        <v>5517526.4800000004</v>
      </c>
      <c r="D174" s="376">
        <f>D153</f>
        <v>5074587.46</v>
      </c>
      <c r="E174" s="382">
        <f t="shared" si="33"/>
        <v>91.972145097888131</v>
      </c>
      <c r="G174" s="262"/>
      <c r="H174" s="262"/>
      <c r="I174" s="275" t="s">
        <v>35</v>
      </c>
      <c r="J174" s="390">
        <f>J151+J138+J34+J33+J162+J163+J63+J152</f>
        <v>55053000</v>
      </c>
      <c r="K174" s="390">
        <f>K151+K138+K34+K33+K162+K163+K63+K152</f>
        <v>12543761.48</v>
      </c>
      <c r="L174" s="390">
        <f>L151+L138+L34+L33+L162+L163+L63+L152</f>
        <v>10979675.9</v>
      </c>
    </row>
    <row r="175" spans="1:12" ht="14.25" x14ac:dyDescent="0.2">
      <c r="A175" s="381" t="s">
        <v>245</v>
      </c>
      <c r="B175" s="376">
        <f>B164</f>
        <v>40000000</v>
      </c>
      <c r="C175" s="376">
        <f t="shared" ref="C175:D175" si="34">C164</f>
        <v>1552540</v>
      </c>
      <c r="D175" s="376">
        <f t="shared" si="34"/>
        <v>659365</v>
      </c>
      <c r="E175" s="382">
        <f t="shared" si="33"/>
        <v>42.470081286150432</v>
      </c>
      <c r="G175" s="262"/>
      <c r="H175" s="262"/>
      <c r="I175" s="285" t="s">
        <v>33</v>
      </c>
      <c r="J175" s="391">
        <f>J107+J35+J82+J64</f>
        <v>40722000</v>
      </c>
      <c r="K175" s="391">
        <f>K107+K35+K82+K64</f>
        <v>658762540.58999991</v>
      </c>
      <c r="L175" s="391">
        <f>L107+L35+L82+L64</f>
        <v>658510138.24000001</v>
      </c>
    </row>
    <row r="176" spans="1:12" ht="16.5" thickBot="1" x14ac:dyDescent="0.3">
      <c r="A176" s="385" t="s">
        <v>3</v>
      </c>
      <c r="B176" s="386">
        <f>SUM(B168:B175)</f>
        <v>681213000</v>
      </c>
      <c r="C176" s="386">
        <f>SUM(C168:C175)</f>
        <v>1175825354.5699999</v>
      </c>
      <c r="D176" s="386">
        <f>SUM(D168:D175)</f>
        <v>1124080443.8500001</v>
      </c>
      <c r="E176" s="387">
        <f t="shared" si="33"/>
        <v>95.599269013983545</v>
      </c>
      <c r="I176" s="249"/>
      <c r="J176" s="271">
        <f>SUM(J172:J175)</f>
        <v>681213000</v>
      </c>
      <c r="K176" s="271">
        <f>SUM(K172:K175)</f>
        <v>1175825354.5699999</v>
      </c>
      <c r="L176" s="271">
        <f>SUM(L172:L175)</f>
        <v>1124080443.8499999</v>
      </c>
    </row>
    <row r="177" spans="1:14" ht="13.5" thickTop="1" x14ac:dyDescent="0.2">
      <c r="F177" s="242"/>
      <c r="G177" s="242"/>
      <c r="H177" s="389"/>
    </row>
    <row r="178" spans="1:14" x14ac:dyDescent="0.2">
      <c r="F178" s="242"/>
      <c r="G178" s="242"/>
      <c r="I178" s="249"/>
      <c r="J178" s="392"/>
      <c r="K178" s="392"/>
      <c r="L178" s="392"/>
    </row>
    <row r="179" spans="1:14" x14ac:dyDescent="0.2">
      <c r="F179" s="242"/>
      <c r="G179" s="242"/>
      <c r="H179" s="309"/>
      <c r="I179" s="496" t="s">
        <v>376</v>
      </c>
      <c r="J179" s="406">
        <f>J106+J81+J62+J34+J32+J163+J127</f>
        <v>400000000</v>
      </c>
      <c r="K179" s="406">
        <f>K106+K81+K62+K34+K32+K163+K127</f>
        <v>267217837.5</v>
      </c>
      <c r="L179" s="406">
        <f>L106+L81+L62+L34+L32+L163+L127</f>
        <v>252577713.40999997</v>
      </c>
      <c r="N179" s="578"/>
    </row>
    <row r="180" spans="1:14" x14ac:dyDescent="0.2">
      <c r="A180" s="393"/>
      <c r="B180" s="394"/>
      <c r="C180" s="394"/>
      <c r="D180" s="394"/>
      <c r="E180" s="359"/>
      <c r="F180" s="242"/>
      <c r="G180" s="242"/>
      <c r="I180" s="506" t="s">
        <v>179</v>
      </c>
      <c r="J180" s="392">
        <f>J151+J138+J105+J80+J61+J33+J31+J107+J35+J82+J64+J162-J108-J109+J63+J126</f>
        <v>281213000</v>
      </c>
      <c r="K180" s="392">
        <f>K151+K138+K105+K80+K61+K33+K31+K107+K35+K82+K64+K162-K108-K109+K63+K126</f>
        <v>280763962.58999997</v>
      </c>
      <c r="L180" s="392">
        <f>L151+L138+L105+L80+L61+L33+L31+L107+L35+L82+L64+L162-L108-L109+L63+L126</f>
        <v>243659175.98000008</v>
      </c>
    </row>
    <row r="181" spans="1:14" x14ac:dyDescent="0.2">
      <c r="A181" s="395"/>
      <c r="B181" s="396"/>
      <c r="C181" s="396"/>
      <c r="D181" s="396"/>
      <c r="E181" s="359"/>
      <c r="F181" s="242"/>
      <c r="G181" s="242"/>
      <c r="I181" s="507" t="s">
        <v>109</v>
      </c>
      <c r="J181" s="508">
        <f>J109+J108+J152</f>
        <v>0</v>
      </c>
      <c r="K181" s="508">
        <f>K109+K108+K152</f>
        <v>627843554.4799999</v>
      </c>
      <c r="L181" s="508">
        <f>L109+L108+L152</f>
        <v>627843554.45999992</v>
      </c>
    </row>
    <row r="182" spans="1:14" ht="15" x14ac:dyDescent="0.25">
      <c r="A182" s="395"/>
      <c r="B182" s="396"/>
      <c r="C182" s="396"/>
      <c r="D182" s="396"/>
      <c r="E182" s="359"/>
      <c r="F182" s="242"/>
      <c r="G182" s="242"/>
      <c r="J182" s="271">
        <f>SUM(J179:J181)</f>
        <v>681213000</v>
      </c>
      <c r="K182" s="271">
        <f>SUM(K179:K181)</f>
        <v>1175825354.5699997</v>
      </c>
      <c r="L182" s="271">
        <f>SUM(L179:L181)</f>
        <v>1124080443.8499999</v>
      </c>
    </row>
    <row r="183" spans="1:14" x14ac:dyDescent="0.2">
      <c r="A183" s="395"/>
      <c r="B183" s="396"/>
      <c r="C183" s="396"/>
      <c r="D183" s="396"/>
      <c r="E183" s="359"/>
      <c r="F183" s="246"/>
      <c r="G183" s="246"/>
    </row>
    <row r="184" spans="1:14" x14ac:dyDescent="0.2">
      <c r="A184" s="397"/>
      <c r="B184" s="360"/>
      <c r="C184" s="360"/>
      <c r="D184" s="360"/>
      <c r="E184" s="359"/>
      <c r="F184" s="246"/>
      <c r="G184" s="246"/>
    </row>
    <row r="185" spans="1:14" x14ac:dyDescent="0.2">
      <c r="A185" s="397"/>
      <c r="B185" s="360"/>
      <c r="C185" s="360"/>
      <c r="D185" s="360"/>
      <c r="E185" s="359"/>
      <c r="F185" s="246"/>
      <c r="G185" s="246"/>
    </row>
    <row r="186" spans="1:14" x14ac:dyDescent="0.2">
      <c r="E186" s="246"/>
      <c r="F186" s="246"/>
      <c r="G186" s="246"/>
    </row>
    <row r="187" spans="1:14" x14ac:dyDescent="0.2">
      <c r="E187" s="246"/>
      <c r="F187" s="246"/>
      <c r="G187" s="246"/>
    </row>
    <row r="188" spans="1:14" x14ac:dyDescent="0.2">
      <c r="E188" s="246"/>
      <c r="F188" s="246"/>
      <c r="G188" s="246"/>
      <c r="J188" s="388"/>
      <c r="K188" s="388"/>
      <c r="L188" s="388"/>
    </row>
    <row r="189" spans="1:14" x14ac:dyDescent="0.2">
      <c r="E189" s="246"/>
      <c r="F189" s="246"/>
      <c r="G189" s="246"/>
      <c r="J189" s="388"/>
      <c r="K189" s="388"/>
      <c r="L189" s="388"/>
    </row>
    <row r="190" spans="1:14" s="248" customFormat="1" x14ac:dyDescent="0.2">
      <c r="A190" s="246"/>
      <c r="B190" s="246"/>
      <c r="C190" s="246"/>
      <c r="D190" s="246"/>
      <c r="E190" s="246"/>
      <c r="G190" s="249"/>
      <c r="H190" s="249"/>
      <c r="I190" s="246"/>
      <c r="J190" s="246"/>
      <c r="K190" s="246"/>
      <c r="L190" s="388"/>
    </row>
    <row r="191" spans="1:14" s="248" customFormat="1" x14ac:dyDescent="0.2">
      <c r="A191" s="246"/>
      <c r="B191" s="246"/>
      <c r="C191" s="246"/>
      <c r="D191" s="246"/>
      <c r="E191" s="246"/>
      <c r="G191" s="249"/>
      <c r="H191" s="249"/>
      <c r="I191" s="246"/>
      <c r="J191" s="246"/>
      <c r="K191" s="246"/>
      <c r="L191" s="246"/>
    </row>
    <row r="192" spans="1:14" s="248" customFormat="1" x14ac:dyDescent="0.2">
      <c r="A192" s="246"/>
      <c r="B192" s="246"/>
      <c r="C192" s="246"/>
      <c r="D192" s="246"/>
      <c r="E192" s="246"/>
      <c r="G192" s="249"/>
      <c r="H192" s="249"/>
      <c r="I192" s="246"/>
      <c r="J192" s="246"/>
      <c r="K192" s="246"/>
      <c r="L192" s="246"/>
    </row>
  </sheetData>
  <mergeCells count="21">
    <mergeCell ref="A72:A73"/>
    <mergeCell ref="A74:A75"/>
    <mergeCell ref="A160:A161"/>
    <mergeCell ref="A146:A148"/>
    <mergeCell ref="A80:A81"/>
    <mergeCell ref="A90:A91"/>
    <mergeCell ref="A105:A107"/>
    <mergeCell ref="A98:A99"/>
    <mergeCell ref="A92:A93"/>
    <mergeCell ref="A94:A95"/>
    <mergeCell ref="A118:A119"/>
    <mergeCell ref="A21:A22"/>
    <mergeCell ref="A46:A47"/>
    <mergeCell ref="A48:A49"/>
    <mergeCell ref="A54:A55"/>
    <mergeCell ref="A43:A44"/>
    <mergeCell ref="A11:A12"/>
    <mergeCell ref="A13:A14"/>
    <mergeCell ref="A15:A16"/>
    <mergeCell ref="A17:A18"/>
    <mergeCell ref="A19:A20"/>
  </mergeCells>
  <pageMargins left="0.78740157480314965" right="0.78740157480314965" top="0.98425196850393704" bottom="0.98425196850393704" header="0.51181102362204722" footer="0.51181102362204722"/>
  <pageSetup paperSize="9" scale="58" firstPageNumber="180" fitToHeight="5" orientation="portrait" useFirstPageNumber="1" r:id="rId1"/>
  <headerFooter alignWithMargins="0"/>
  <rowBreaks count="3" manualBreakCount="3">
    <brk id="37" max="4" man="1"/>
    <brk id="111" max="4" man="1"/>
    <brk id="181" max="4" man="1"/>
  </rowBreaks>
  <ignoredErrors>
    <ignoredError sqref="F56" numberStoredAsText="1"/>
    <ignoredError sqref="E107 E105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6"/>
  <sheetViews>
    <sheetView showGridLines="0" view="pageBreakPreview" zoomScaleNormal="100" zoomScaleSheetLayoutView="100" workbookViewId="0">
      <selection activeCell="D32" sqref="D32"/>
    </sheetView>
  </sheetViews>
  <sheetFormatPr defaultColWidth="9.140625" defaultRowHeight="12.75" x14ac:dyDescent="0.2"/>
  <cols>
    <col min="1" max="1" width="77.7109375" style="5" customWidth="1"/>
    <col min="2" max="2" width="17.140625" style="5" customWidth="1"/>
    <col min="3" max="3" width="17.28515625" style="5" customWidth="1"/>
    <col min="4" max="4" width="17.28515625" style="5" bestFit="1" customWidth="1"/>
    <col min="5" max="5" width="7.5703125" style="37" customWidth="1"/>
    <col min="6" max="6" width="15.28515625" style="90" customWidth="1"/>
    <col min="7" max="7" width="19.140625" style="38" customWidth="1"/>
    <col min="8" max="8" width="9.85546875" style="38" customWidth="1"/>
    <col min="9" max="9" width="17.7109375" style="5" customWidth="1"/>
    <col min="10" max="10" width="18.28515625" style="5" customWidth="1"/>
    <col min="11" max="11" width="18.7109375" style="5" customWidth="1"/>
    <col min="12" max="12" width="17.5703125" style="5" customWidth="1"/>
    <col min="13" max="16384" width="9.140625" style="5"/>
  </cols>
  <sheetData>
    <row r="1" spans="1:8" s="32" customFormat="1" ht="18" x14ac:dyDescent="0.25">
      <c r="A1" s="29" t="s">
        <v>281</v>
      </c>
      <c r="B1" s="29"/>
      <c r="C1" s="29"/>
      <c r="D1" s="29"/>
      <c r="E1" s="29"/>
      <c r="F1" s="89"/>
      <c r="G1" s="30"/>
      <c r="H1" s="31"/>
    </row>
    <row r="2" spans="1:8" s="35" customFormat="1" ht="15.75" x14ac:dyDescent="0.25">
      <c r="A2" s="33" t="s">
        <v>79</v>
      </c>
      <c r="B2" s="34"/>
      <c r="C2" s="34"/>
      <c r="D2" s="34"/>
      <c r="E2" s="34"/>
      <c r="F2" s="89"/>
      <c r="G2" s="30"/>
      <c r="H2" s="31"/>
    </row>
    <row r="3" spans="1:8" ht="12" customHeight="1" x14ac:dyDescent="0.2"/>
    <row r="4" spans="1:8" ht="15" customHeight="1" x14ac:dyDescent="0.25">
      <c r="A4" s="36" t="s">
        <v>116</v>
      </c>
    </row>
    <row r="5" spans="1:8" ht="15" customHeight="1" thickBot="1" x14ac:dyDescent="0.3">
      <c r="A5" s="39" t="s">
        <v>113</v>
      </c>
      <c r="E5" s="40" t="s">
        <v>18</v>
      </c>
    </row>
    <row r="6" spans="1:8" ht="14.25" thickTop="1" thickBot="1" x14ac:dyDescent="0.25">
      <c r="A6" s="41" t="s">
        <v>5</v>
      </c>
      <c r="B6" s="42" t="s">
        <v>0</v>
      </c>
      <c r="C6" s="43" t="s">
        <v>1</v>
      </c>
      <c r="D6" s="44" t="s">
        <v>4</v>
      </c>
      <c r="E6" s="45" t="s">
        <v>6</v>
      </c>
    </row>
    <row r="7" spans="1:8" ht="15.75" thickTop="1" x14ac:dyDescent="0.2">
      <c r="A7" s="46" t="s">
        <v>31</v>
      </c>
      <c r="B7" s="67">
        <f>SUM(B8:B10)</f>
        <v>27536000</v>
      </c>
      <c r="C7" s="67">
        <f>SUM(C8:C10)</f>
        <v>31174953.690000001</v>
      </c>
      <c r="D7" s="67">
        <f>SUM(D8:D10)</f>
        <v>29505423.100000001</v>
      </c>
      <c r="E7" s="77">
        <f>D7/C7*100</f>
        <v>94.644641314942717</v>
      </c>
      <c r="F7" s="37"/>
    </row>
    <row r="8" spans="1:8" x14ac:dyDescent="0.2">
      <c r="A8" s="236" t="s">
        <v>296</v>
      </c>
      <c r="B8" s="413">
        <v>2000000</v>
      </c>
      <c r="C8" s="237">
        <v>2708824.35</v>
      </c>
      <c r="D8" s="237">
        <v>2708824.35</v>
      </c>
      <c r="E8" s="220">
        <f>D8/C8*100</f>
        <v>100</v>
      </c>
      <c r="F8" s="84">
        <v>101458</v>
      </c>
      <c r="G8" s="113" t="s">
        <v>374</v>
      </c>
    </row>
    <row r="9" spans="1:8" x14ac:dyDescent="0.2">
      <c r="A9" s="595" t="s">
        <v>69</v>
      </c>
      <c r="B9" s="413">
        <v>25536000</v>
      </c>
      <c r="C9" s="237">
        <v>26594435.699999999</v>
      </c>
      <c r="D9" s="237">
        <v>26420385.699999999</v>
      </c>
      <c r="E9" s="220">
        <f>D9/C9*100</f>
        <v>99.345539788986756</v>
      </c>
      <c r="F9" s="84">
        <v>101093</v>
      </c>
      <c r="G9" s="141" t="s">
        <v>372</v>
      </c>
    </row>
    <row r="10" spans="1:8" ht="13.5" thickBot="1" x14ac:dyDescent="0.25">
      <c r="A10" s="565" t="s">
        <v>298</v>
      </c>
      <c r="B10" s="414">
        <v>0</v>
      </c>
      <c r="C10" s="412">
        <v>1871693.64</v>
      </c>
      <c r="D10" s="412">
        <v>376213.05</v>
      </c>
      <c r="E10" s="225">
        <f t="shared" ref="E10" si="0">D10/C10*100</f>
        <v>20.100140426827544</v>
      </c>
      <c r="F10" s="84">
        <v>101486</v>
      </c>
      <c r="G10" s="141" t="s">
        <v>372</v>
      </c>
    </row>
    <row r="11" spans="1:8" ht="13.5" thickTop="1" x14ac:dyDescent="0.2"/>
    <row r="13" spans="1:8" x14ac:dyDescent="0.2">
      <c r="A13" s="150"/>
      <c r="B13" s="72"/>
      <c r="C13" s="68"/>
      <c r="D13" s="68"/>
      <c r="E13" s="51"/>
      <c r="F13" s="84"/>
      <c r="G13" s="141"/>
    </row>
    <row r="14" spans="1:8" s="7" customFormat="1" x14ac:dyDescent="0.2">
      <c r="E14" s="51"/>
      <c r="F14" s="81"/>
      <c r="G14" s="55"/>
      <c r="H14" s="55"/>
    </row>
    <row r="15" spans="1:8" ht="18.75" thickBot="1" x14ac:dyDescent="0.25">
      <c r="A15" s="295" t="s">
        <v>23</v>
      </c>
      <c r="B15" s="400">
        <f>B7</f>
        <v>27536000</v>
      </c>
      <c r="C15" s="400">
        <f>C7</f>
        <v>31174953.690000001</v>
      </c>
      <c r="D15" s="400">
        <f>D7</f>
        <v>29505423.100000001</v>
      </c>
      <c r="E15" s="297">
        <f>D15/C15*100</f>
        <v>94.644641314942717</v>
      </c>
      <c r="F15" s="596"/>
      <c r="G15" s="55"/>
    </row>
    <row r="16" spans="1:8" ht="13.5" thickTop="1" x14ac:dyDescent="0.2">
      <c r="B16" s="4"/>
      <c r="F16" s="98"/>
      <c r="G16" s="55"/>
    </row>
    <row r="17" spans="1:11" x14ac:dyDescent="0.2">
      <c r="B17" s="4"/>
      <c r="F17" s="98"/>
      <c r="G17" s="55"/>
    </row>
    <row r="18" spans="1:11" ht="14.25" x14ac:dyDescent="0.2">
      <c r="A18" s="69" t="s">
        <v>12</v>
      </c>
      <c r="B18" s="69"/>
      <c r="C18" s="69"/>
      <c r="D18" s="69"/>
      <c r="E18" s="70"/>
      <c r="F18" s="99"/>
      <c r="G18" s="55"/>
      <c r="H18" s="113" t="s">
        <v>32</v>
      </c>
      <c r="I18" s="216">
        <f>B8</f>
        <v>2000000</v>
      </c>
      <c r="J18" s="216">
        <f>C8</f>
        <v>2708824.35</v>
      </c>
      <c r="K18" s="216">
        <f>D8</f>
        <v>2708824.35</v>
      </c>
    </row>
    <row r="19" spans="1:11" ht="14.25" x14ac:dyDescent="0.2">
      <c r="A19" s="71" t="s">
        <v>14</v>
      </c>
      <c r="B19" s="72">
        <f>B15</f>
        <v>27536000</v>
      </c>
      <c r="C19" s="72">
        <f t="shared" ref="C19:D19" si="1">C15</f>
        <v>31174953.690000001</v>
      </c>
      <c r="D19" s="72">
        <f t="shared" si="1"/>
        <v>29505423.100000001</v>
      </c>
      <c r="E19" s="73">
        <f t="shared" ref="E19" si="2">D19/C19*100</f>
        <v>94.644641314942717</v>
      </c>
      <c r="F19" s="100"/>
      <c r="G19" s="55"/>
      <c r="H19" s="142" t="s">
        <v>39</v>
      </c>
      <c r="I19" s="162">
        <f>B9+B10</f>
        <v>25536000</v>
      </c>
      <c r="J19" s="162">
        <f>C9+C10</f>
        <v>28466129.34</v>
      </c>
      <c r="K19" s="162">
        <f>D9+D10</f>
        <v>26796598.75</v>
      </c>
    </row>
    <row r="20" spans="1:11" ht="16.5" thickBot="1" x14ac:dyDescent="0.3">
      <c r="A20" s="74" t="s">
        <v>3</v>
      </c>
      <c r="B20" s="75">
        <f>SUM(B19:B19)</f>
        <v>27536000</v>
      </c>
      <c r="C20" s="75">
        <f>SUM(C19:C19)</f>
        <v>31174953.690000001</v>
      </c>
      <c r="D20" s="75">
        <f>SUM(D19:D19)</f>
        <v>29505423.100000001</v>
      </c>
      <c r="E20" s="76">
        <f>D20/C20*100</f>
        <v>94.644641314942717</v>
      </c>
      <c r="H20" s="143"/>
      <c r="I20" s="121">
        <f>SUM(I18:I19)</f>
        <v>27536000</v>
      </c>
      <c r="J20" s="121">
        <f>SUM(J18:J19)</f>
        <v>31174953.690000001</v>
      </c>
      <c r="K20" s="121">
        <f>SUM(K18:K19)</f>
        <v>29505423.100000001</v>
      </c>
    </row>
    <row r="21" spans="1:11" ht="13.5" thickTop="1" x14ac:dyDescent="0.2">
      <c r="F21" s="1"/>
      <c r="G21" s="1"/>
      <c r="I21" s="166"/>
      <c r="J21" s="166"/>
      <c r="K21" s="166"/>
    </row>
    <row r="22" spans="1:11" x14ac:dyDescent="0.2">
      <c r="B22" s="535" t="s">
        <v>239</v>
      </c>
      <c r="F22" s="1"/>
      <c r="G22" s="1"/>
      <c r="I22" s="166"/>
      <c r="J22" s="166"/>
      <c r="K22" s="166"/>
    </row>
    <row r="23" spans="1:11" x14ac:dyDescent="0.2">
      <c r="B23" s="184">
        <f>B7</f>
        <v>27536000</v>
      </c>
      <c r="F23" s="1"/>
      <c r="G23" s="1"/>
      <c r="H23" s="106"/>
      <c r="I23" s="166"/>
      <c r="J23" s="166"/>
      <c r="K23" s="166"/>
    </row>
    <row r="24" spans="1:11" x14ac:dyDescent="0.2">
      <c r="A24" s="120"/>
      <c r="B24" s="167">
        <f>B7-B23</f>
        <v>0</v>
      </c>
      <c r="C24" s="167"/>
      <c r="D24" s="167"/>
      <c r="E24" s="2"/>
      <c r="F24" s="1"/>
      <c r="G24" s="1"/>
      <c r="I24" s="4"/>
      <c r="J24" s="4"/>
      <c r="K24" s="4"/>
    </row>
    <row r="25" spans="1:11" x14ac:dyDescent="0.2">
      <c r="A25" s="168"/>
      <c r="B25" s="169"/>
      <c r="C25" s="169"/>
      <c r="D25" s="169"/>
      <c r="E25" s="2"/>
      <c r="F25" s="1"/>
      <c r="G25" s="1"/>
    </row>
    <row r="26" spans="1:11" x14ac:dyDescent="0.2">
      <c r="A26" s="168"/>
      <c r="B26" s="169"/>
      <c r="C26" s="169"/>
      <c r="D26" s="169"/>
      <c r="E26" s="2"/>
      <c r="F26" s="1"/>
      <c r="G26" s="1"/>
    </row>
    <row r="27" spans="1:11" x14ac:dyDescent="0.2">
      <c r="A27" s="168"/>
      <c r="B27" s="169"/>
      <c r="C27" s="169"/>
      <c r="D27" s="169"/>
      <c r="E27" s="2"/>
      <c r="F27" s="5"/>
      <c r="G27" s="5"/>
    </row>
    <row r="28" spans="1:11" x14ac:dyDescent="0.2">
      <c r="A28" s="119"/>
      <c r="B28" s="105"/>
      <c r="C28" s="105"/>
      <c r="D28" s="105"/>
      <c r="E28" s="2"/>
      <c r="F28" s="5"/>
      <c r="G28" s="5"/>
    </row>
    <row r="29" spans="1:11" x14ac:dyDescent="0.2">
      <c r="A29" s="119"/>
      <c r="B29" s="105"/>
      <c r="C29" s="105"/>
      <c r="D29" s="105"/>
      <c r="E29" s="2"/>
      <c r="F29" s="5"/>
      <c r="G29" s="5"/>
    </row>
    <row r="30" spans="1:11" x14ac:dyDescent="0.2">
      <c r="E30" s="5"/>
      <c r="F30" s="5"/>
      <c r="G30" s="5"/>
    </row>
    <row r="31" spans="1:11" x14ac:dyDescent="0.2">
      <c r="E31" s="5"/>
      <c r="F31" s="5"/>
      <c r="G31" s="5"/>
      <c r="K31" s="4"/>
    </row>
    <row r="32" spans="1:11" x14ac:dyDescent="0.2">
      <c r="E32" s="5"/>
      <c r="F32" s="5"/>
      <c r="G32" s="5"/>
    </row>
    <row r="33" spans="5:7" x14ac:dyDescent="0.2">
      <c r="E33" s="5"/>
      <c r="F33" s="5"/>
      <c r="G33" s="5"/>
    </row>
    <row r="34" spans="5:7" x14ac:dyDescent="0.2">
      <c r="E34" s="5"/>
    </row>
    <row r="35" spans="5:7" x14ac:dyDescent="0.2">
      <c r="E35" s="5"/>
    </row>
    <row r="36" spans="5:7" x14ac:dyDescent="0.2">
      <c r="E36" s="5"/>
    </row>
  </sheetData>
  <pageMargins left="0.78740157480314965" right="0.78740157480314965" top="0.98425196850393704" bottom="0.98425196850393704" header="0.51181102362204722" footer="0.51181102362204722"/>
  <pageSetup paperSize="9" scale="63" firstPageNumber="183" fitToHeight="5" orientation="portrait" useFirstPageNumber="1" r:id="rId1"/>
  <headerFooter alignWithMargins="0"/>
  <rowBreaks count="1" manualBreakCount="1">
    <brk id="25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Rekapitulace</vt:lpstr>
      <vt:lpstr>rekapitulace PO</vt:lpstr>
      <vt:lpstr>8a) OK 2021</vt:lpstr>
      <vt:lpstr>8b) Projekty spolufinancované</vt:lpstr>
      <vt:lpstr>8c) SMN</vt:lpstr>
      <vt:lpstr>'8a) OK 2021'!Oblast_tisku</vt:lpstr>
      <vt:lpstr>'8b) Projekty spolufinancované'!Oblast_tisku</vt:lpstr>
      <vt:lpstr>'8c) SMN'!Oblast_tisku</vt:lpstr>
      <vt:lpstr>Rekapitulace!Oblast_tisku</vt:lpstr>
      <vt:lpstr>'rekapitulace PO'!Oblast_tisku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benesova</dc:creator>
  <cp:lastModifiedBy>Vítková Petra</cp:lastModifiedBy>
  <cp:lastPrinted>2022-06-07T08:47:33Z</cp:lastPrinted>
  <dcterms:created xsi:type="dcterms:W3CDTF">2010-08-09T11:30:13Z</dcterms:created>
  <dcterms:modified xsi:type="dcterms:W3CDTF">2022-06-07T08:47:36Z</dcterms:modified>
</cp:coreProperties>
</file>