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25" windowWidth="15450" windowHeight="8430" activeTab="3"/>
  </bookViews>
  <sheets>
    <sheet name="Souhrn" sheetId="6" r:id="rId1"/>
    <sheet name="Připravované" sheetId="5" r:id="rId2"/>
    <sheet name="Podané" sheetId="4" r:id="rId3"/>
    <sheet name="Realizované" sheetId="3" r:id="rId4"/>
  </sheets>
  <definedNames>
    <definedName name="_xlnm._FilterDatabase" localSheetId="2" hidden="1">Podané!$A$4:$Q$81</definedName>
    <definedName name="_xlnm._FilterDatabase" localSheetId="1" hidden="1">Připravované!$A$4:$R$67</definedName>
    <definedName name="_xlnm._FilterDatabase" localSheetId="3" hidden="1">Realizované!$A$4:$R$33</definedName>
    <definedName name="_xlnm.Print_Titles" localSheetId="2">Podané!$4:$5</definedName>
    <definedName name="_xlnm.Print_Titles" localSheetId="1">Připravované!$4:$5</definedName>
    <definedName name="_xlnm.Print_Titles" localSheetId="3">Realizované!$4:$5</definedName>
    <definedName name="_xlnm.Print_Area" localSheetId="2">Podané!$A$1:$V$87</definedName>
    <definedName name="_xlnm.Print_Area" localSheetId="1">Připravované!$A$1:$V$69</definedName>
    <definedName name="_xlnm.Print_Area" localSheetId="3">Realizované!$A$1:$X$36</definedName>
    <definedName name="_xlnm.Print_Area" localSheetId="0">Souhrn!$A$1:$S$43</definedName>
  </definedNames>
  <calcPr calcId="145621"/>
</workbook>
</file>

<file path=xl/calcChain.xml><?xml version="1.0" encoding="utf-8"?>
<calcChain xmlns="http://schemas.openxmlformats.org/spreadsheetml/2006/main">
  <c r="G25" i="6" l="1"/>
  <c r="H25" i="6"/>
  <c r="I25" i="6"/>
  <c r="F25" i="6"/>
  <c r="L25" i="6"/>
  <c r="M25" i="6"/>
  <c r="N25" i="6"/>
  <c r="K25" i="6"/>
  <c r="L26" i="6"/>
  <c r="M26" i="6"/>
  <c r="N26" i="6"/>
  <c r="O26" i="6"/>
  <c r="K26" i="6"/>
  <c r="O25" i="6"/>
  <c r="U21" i="4" l="1"/>
  <c r="T17" i="5" l="1"/>
  <c r="U10" i="5"/>
  <c r="T10" i="5"/>
  <c r="L46" i="5" l="1"/>
  <c r="H45" i="5"/>
  <c r="F45" i="5" s="1"/>
  <c r="G45" i="5"/>
  <c r="V45" i="5" s="1"/>
  <c r="J23" i="3" l="1"/>
  <c r="K17" i="5" l="1"/>
  <c r="M21" i="3" l="1"/>
  <c r="D23" i="6" l="1"/>
  <c r="E23" i="6"/>
  <c r="I23" i="6"/>
  <c r="M23" i="6"/>
  <c r="Q23" i="6"/>
  <c r="H33" i="3"/>
  <c r="F33" i="3"/>
  <c r="F19" i="3"/>
  <c r="F16" i="3"/>
  <c r="F8" i="3"/>
  <c r="B23" i="6" s="1"/>
  <c r="H8" i="3"/>
  <c r="H23" i="3"/>
  <c r="H22" i="3"/>
  <c r="G8" i="3"/>
  <c r="C23" i="6" s="1"/>
  <c r="I8" i="3"/>
  <c r="J8" i="3"/>
  <c r="F23" i="6" s="1"/>
  <c r="K8" i="3"/>
  <c r="G23" i="6" s="1"/>
  <c r="L8" i="3"/>
  <c r="H23" i="6" s="1"/>
  <c r="M8" i="3"/>
  <c r="N8" i="3"/>
  <c r="J23" i="6" s="1"/>
  <c r="O8" i="3"/>
  <c r="K23" i="6" s="1"/>
  <c r="P8" i="3"/>
  <c r="L23" i="6" s="1"/>
  <c r="Q8" i="3"/>
  <c r="R8" i="3"/>
  <c r="N23" i="6" s="1"/>
  <c r="S8" i="3"/>
  <c r="O23" i="6" s="1"/>
  <c r="T8" i="3"/>
  <c r="P23" i="6" s="1"/>
  <c r="U8" i="3"/>
  <c r="V8" i="3"/>
  <c r="R23" i="6" s="1"/>
  <c r="W8" i="3"/>
  <c r="S23" i="6" s="1"/>
  <c r="X8" i="3"/>
  <c r="Y8" i="3"/>
  <c r="G24" i="5"/>
  <c r="H24" i="5" s="1"/>
  <c r="S20" i="5" l="1"/>
  <c r="Q20" i="5"/>
  <c r="O20" i="5"/>
  <c r="N20" i="5"/>
  <c r="M20" i="5"/>
  <c r="J20" i="5"/>
  <c r="I20" i="5"/>
  <c r="V81" i="4" l="1"/>
  <c r="R81" i="4"/>
  <c r="M81" i="4"/>
  <c r="L81" i="4"/>
  <c r="V63" i="5"/>
  <c r="S63" i="5"/>
  <c r="R63" i="5"/>
  <c r="Q63" i="5"/>
  <c r="M63" i="5"/>
  <c r="L63" i="5"/>
  <c r="U8" i="5" l="1"/>
  <c r="H8" i="5"/>
  <c r="V7" i="5"/>
  <c r="T7" i="5"/>
  <c r="G29" i="5" l="1"/>
  <c r="M29" i="5"/>
  <c r="H29" i="5" s="1"/>
  <c r="F29" i="5" l="1"/>
  <c r="G31" i="5"/>
  <c r="M31" i="5"/>
  <c r="H31" i="5" s="1"/>
  <c r="G30" i="5"/>
  <c r="M30" i="5"/>
  <c r="H30" i="5" s="1"/>
  <c r="F30" i="5" l="1"/>
  <c r="F31" i="5"/>
  <c r="G23" i="5"/>
  <c r="M23" i="5"/>
  <c r="H23" i="5" s="1"/>
  <c r="F23" i="5" l="1"/>
  <c r="H8" i="4"/>
  <c r="G8" i="4"/>
  <c r="F8" i="4" l="1"/>
  <c r="L13" i="4"/>
  <c r="H13" i="4" s="1"/>
  <c r="G11" i="4" l="1"/>
  <c r="H11" i="4"/>
  <c r="F11" i="4" l="1"/>
  <c r="G12" i="4"/>
  <c r="J12" i="4"/>
  <c r="H12" i="4" s="1"/>
  <c r="F12" i="4" l="1"/>
  <c r="H49" i="4"/>
  <c r="G49" i="4"/>
  <c r="G50" i="4"/>
  <c r="K50" i="4"/>
  <c r="H50" i="4" s="1"/>
  <c r="K44" i="4"/>
  <c r="H44" i="4" s="1"/>
  <c r="G44" i="4"/>
  <c r="G43" i="4"/>
  <c r="K43" i="4"/>
  <c r="H43" i="4" s="1"/>
  <c r="K42" i="4"/>
  <c r="G42" i="4"/>
  <c r="K41" i="4"/>
  <c r="K46" i="4"/>
  <c r="G41" i="4"/>
  <c r="G46" i="4"/>
  <c r="K45" i="4"/>
  <c r="K48" i="4"/>
  <c r="K47" i="4"/>
  <c r="G45" i="4"/>
  <c r="G48" i="4"/>
  <c r="G47" i="4"/>
  <c r="Q81" i="4"/>
  <c r="F50" i="4" l="1"/>
  <c r="F43" i="4"/>
  <c r="F44" i="4"/>
  <c r="F49" i="4"/>
  <c r="V31" i="4"/>
  <c r="S31" i="4"/>
  <c r="R31" i="4"/>
  <c r="Q31" i="4"/>
  <c r="O31" i="4"/>
  <c r="M31" i="4"/>
  <c r="L31" i="4"/>
  <c r="J31" i="4"/>
  <c r="R41" i="5"/>
  <c r="N41" i="5"/>
  <c r="M41" i="5"/>
  <c r="T32" i="5"/>
  <c r="S32" i="5"/>
  <c r="Q32" i="5"/>
  <c r="P32" i="5"/>
  <c r="O32" i="5"/>
  <c r="N32" i="5"/>
  <c r="M32" i="5"/>
  <c r="K32" i="5"/>
  <c r="J32" i="5"/>
  <c r="I32" i="5"/>
  <c r="V24" i="4"/>
  <c r="S24" i="4"/>
  <c r="Q24" i="4"/>
  <c r="L24" i="4"/>
  <c r="O22" i="4" l="1"/>
  <c r="J22" i="4"/>
  <c r="I22" i="4"/>
  <c r="G22" i="4" l="1"/>
  <c r="O24" i="4"/>
  <c r="H22" i="4"/>
  <c r="N23" i="4"/>
  <c r="P23" i="4" s="1"/>
  <c r="I23" i="4"/>
  <c r="K23" i="4" s="1"/>
  <c r="F22" i="4" l="1"/>
  <c r="H23" i="4"/>
  <c r="J24" i="4"/>
  <c r="N21" i="4"/>
  <c r="I21" i="4"/>
  <c r="P24" i="4" l="1"/>
  <c r="N24" i="4"/>
  <c r="K24" i="4"/>
  <c r="I24" i="4"/>
  <c r="N27" i="4"/>
  <c r="N29" i="4"/>
  <c r="P29" i="4" s="1"/>
  <c r="N28" i="4"/>
  <c r="P28" i="4" s="1"/>
  <c r="I28" i="4"/>
  <c r="K28" i="4" s="1"/>
  <c r="I29" i="4"/>
  <c r="K29" i="4" s="1"/>
  <c r="I27" i="4"/>
  <c r="P27" i="4" l="1"/>
  <c r="P31" i="4" s="1"/>
  <c r="N31" i="4"/>
  <c r="K27" i="4"/>
  <c r="K31" i="4" s="1"/>
  <c r="I31" i="4"/>
  <c r="H28" i="4"/>
  <c r="G27" i="4" l="1"/>
  <c r="G29" i="4"/>
  <c r="J36" i="4" l="1"/>
  <c r="J35" i="4" l="1"/>
  <c r="I33" i="4" l="1"/>
  <c r="O33" i="4"/>
  <c r="J33" i="4"/>
  <c r="N33" i="4"/>
  <c r="P54" i="5"/>
  <c r="K54" i="5"/>
  <c r="J54" i="5"/>
  <c r="O54" i="5"/>
  <c r="N54" i="5"/>
  <c r="I54" i="5"/>
  <c r="S33" i="4" l="1"/>
  <c r="H33" i="4"/>
  <c r="G33" i="4"/>
  <c r="P53" i="5"/>
  <c r="O53" i="5"/>
  <c r="O63" i="5" s="1"/>
  <c r="K53" i="5"/>
  <c r="J53" i="5"/>
  <c r="J63" i="5" s="1"/>
  <c r="N53" i="5"/>
  <c r="N63" i="5" s="1"/>
  <c r="I53" i="5"/>
  <c r="I63" i="5" s="1"/>
  <c r="F33" i="4" l="1"/>
  <c r="H58" i="5"/>
  <c r="G58" i="5"/>
  <c r="H57" i="5"/>
  <c r="P57" i="5"/>
  <c r="G57" i="5" s="1"/>
  <c r="F58" i="5" l="1"/>
  <c r="F57" i="5"/>
  <c r="H17" i="5" l="1"/>
  <c r="G17" i="5"/>
  <c r="U17" i="5" s="1"/>
  <c r="H39" i="5"/>
  <c r="H41" i="5" s="1"/>
  <c r="G39" i="5"/>
  <c r="G41" i="5" s="1"/>
  <c r="K40" i="5"/>
  <c r="F17" i="5" l="1"/>
  <c r="F39" i="5"/>
  <c r="H46" i="5" l="1"/>
  <c r="H44" i="5"/>
  <c r="G44" i="5" l="1"/>
  <c r="G46" i="5"/>
  <c r="F44" i="5" l="1"/>
  <c r="V44" i="5"/>
  <c r="F46" i="5"/>
  <c r="V46" i="5"/>
  <c r="G24" i="3"/>
  <c r="G23" i="3" l="1"/>
  <c r="Y28" i="3"/>
  <c r="X28" i="3"/>
  <c r="W28" i="3"/>
  <c r="V28" i="3"/>
  <c r="U28" i="3"/>
  <c r="T28" i="3"/>
  <c r="S28" i="3"/>
  <c r="R28" i="3"/>
  <c r="G74" i="4" l="1"/>
  <c r="H74" i="4" s="1"/>
  <c r="K74" i="4" s="1"/>
  <c r="P74" i="4" l="1"/>
  <c r="U74" i="4" s="1"/>
  <c r="U40" i="4"/>
  <c r="U27" i="4"/>
  <c r="T27" i="4"/>
  <c r="T40" i="4" l="1"/>
  <c r="G40" i="4"/>
  <c r="T28" i="4"/>
  <c r="U28" i="4" l="1"/>
  <c r="G28" i="4"/>
  <c r="G31" i="4" s="1"/>
  <c r="N59" i="4"/>
  <c r="O59" i="4"/>
  <c r="G59" i="4"/>
  <c r="U59" i="4" s="1"/>
  <c r="F59" i="4"/>
  <c r="I59" i="4"/>
  <c r="O52" i="4"/>
  <c r="N52" i="4"/>
  <c r="N63" i="4"/>
  <c r="O63" i="4"/>
  <c r="I63" i="4"/>
  <c r="G63" i="4"/>
  <c r="T63" i="4" s="1"/>
  <c r="F63" i="4"/>
  <c r="J52" i="4"/>
  <c r="I52" i="4"/>
  <c r="G52" i="4"/>
  <c r="U52" i="4" s="1"/>
  <c r="N81" i="4" l="1"/>
  <c r="K52" i="4"/>
  <c r="O81" i="4"/>
  <c r="H52" i="4"/>
  <c r="P63" i="4"/>
  <c r="P52" i="4"/>
  <c r="P59" i="4"/>
  <c r="G62" i="4" l="1"/>
  <c r="G57" i="4"/>
  <c r="O7" i="4" l="1"/>
  <c r="I7" i="4"/>
  <c r="F7" i="4" l="1"/>
  <c r="H7" i="4" s="1"/>
  <c r="J7" i="4" s="1"/>
  <c r="G56" i="4" l="1"/>
  <c r="G34" i="4" l="1"/>
  <c r="H34" i="4" s="1"/>
  <c r="M34" i="4" s="1"/>
  <c r="S20" i="6" l="1"/>
  <c r="G84" i="4"/>
  <c r="H84" i="4" s="1"/>
  <c r="H85" i="4" s="1"/>
  <c r="D20" i="6" s="1"/>
  <c r="I85" i="4"/>
  <c r="E20" i="6" s="1"/>
  <c r="K85" i="4"/>
  <c r="G20" i="6" s="1"/>
  <c r="L85" i="4"/>
  <c r="H20" i="6" s="1"/>
  <c r="M85" i="4"/>
  <c r="I20" i="6" s="1"/>
  <c r="N85" i="4"/>
  <c r="J20" i="6" s="1"/>
  <c r="O85" i="4"/>
  <c r="K20" i="6" s="1"/>
  <c r="P85" i="4"/>
  <c r="L20" i="6" s="1"/>
  <c r="Q85" i="4"/>
  <c r="M20" i="6" s="1"/>
  <c r="R85" i="4"/>
  <c r="N20" i="6" s="1"/>
  <c r="S85" i="4"/>
  <c r="O20" i="6" s="1"/>
  <c r="T85" i="4"/>
  <c r="P20" i="6" s="1"/>
  <c r="U85" i="4"/>
  <c r="Q20" i="6" s="1"/>
  <c r="V85" i="4"/>
  <c r="R20" i="6" s="1"/>
  <c r="F85" i="4"/>
  <c r="B20" i="6" s="1"/>
  <c r="G85" i="4" l="1"/>
  <c r="C20" i="6" s="1"/>
  <c r="J85" i="4"/>
  <c r="F20" i="6" s="1"/>
  <c r="H63" i="4" l="1"/>
  <c r="K63" i="4" s="1"/>
  <c r="G73" i="4"/>
  <c r="P73" i="4" s="1"/>
  <c r="T73" i="4" s="1"/>
  <c r="H73" i="4" l="1"/>
  <c r="K73" i="4" s="1"/>
  <c r="G64" i="4"/>
  <c r="G58" i="4" l="1"/>
  <c r="H58" i="4" s="1"/>
  <c r="K58" i="4" s="1"/>
  <c r="P64" i="4"/>
  <c r="T64" i="4" s="1"/>
  <c r="H64" i="4"/>
  <c r="K64" i="4" s="1"/>
  <c r="G65" i="4"/>
  <c r="H65" i="4" s="1"/>
  <c r="K65" i="4" s="1"/>
  <c r="G72" i="4"/>
  <c r="H72" i="4" s="1"/>
  <c r="K72" i="4" s="1"/>
  <c r="G54" i="4"/>
  <c r="H54" i="4" s="1"/>
  <c r="K54" i="4" s="1"/>
  <c r="G71" i="4"/>
  <c r="H71" i="4" s="1"/>
  <c r="K71" i="4" s="1"/>
  <c r="P58" i="4" l="1"/>
  <c r="T58" i="4" s="1"/>
  <c r="P65" i="4"/>
  <c r="T65" i="4" s="1"/>
  <c r="P72" i="4"/>
  <c r="T72" i="4" s="1"/>
  <c r="P54" i="4"/>
  <c r="T54" i="4" s="1"/>
  <c r="P71" i="4"/>
  <c r="G70" i="4"/>
  <c r="P70" i="4" s="1"/>
  <c r="T70" i="4" s="1"/>
  <c r="G53" i="4"/>
  <c r="H53" i="4" s="1"/>
  <c r="K53" i="4" s="1"/>
  <c r="G66" i="4"/>
  <c r="P66" i="4" s="1"/>
  <c r="T66" i="4" s="1"/>
  <c r="H70" i="4" l="1"/>
  <c r="K70" i="4" s="1"/>
  <c r="P53" i="4"/>
  <c r="T53" i="4" s="1"/>
  <c r="H66" i="4"/>
  <c r="K66" i="4" s="1"/>
  <c r="G67" i="4"/>
  <c r="H67" i="4" s="1"/>
  <c r="K67" i="4" s="1"/>
  <c r="G60" i="4"/>
  <c r="P60" i="4" s="1"/>
  <c r="T60" i="4" s="1"/>
  <c r="G75" i="4"/>
  <c r="H75" i="4" s="1"/>
  <c r="K75" i="4" s="1"/>
  <c r="G68" i="4"/>
  <c r="P68" i="4" s="1"/>
  <c r="T68" i="4" s="1"/>
  <c r="G51" i="4"/>
  <c r="H51" i="4" l="1"/>
  <c r="K51" i="4" s="1"/>
  <c r="P67" i="4"/>
  <c r="T67" i="4" s="1"/>
  <c r="H60" i="4"/>
  <c r="K60" i="4" s="1"/>
  <c r="P75" i="4"/>
  <c r="T75" i="4" s="1"/>
  <c r="H68" i="4"/>
  <c r="K68" i="4" s="1"/>
  <c r="P51" i="4"/>
  <c r="G61" i="4"/>
  <c r="P61" i="4" s="1"/>
  <c r="T61" i="4" s="1"/>
  <c r="T51" i="4" l="1"/>
  <c r="G81" i="4"/>
  <c r="H61" i="4"/>
  <c r="K61" i="4" s="1"/>
  <c r="G69" i="4"/>
  <c r="H69" i="4" s="1"/>
  <c r="K69" i="4" s="1"/>
  <c r="P69" i="4" l="1"/>
  <c r="T69" i="4" s="1"/>
  <c r="P62" i="4" l="1"/>
  <c r="T62" i="4" s="1"/>
  <c r="H62" i="4" l="1"/>
  <c r="K62" i="4" s="1"/>
  <c r="S57" i="4"/>
  <c r="S81" i="4" s="1"/>
  <c r="H57" i="4"/>
  <c r="K57" i="4" s="1"/>
  <c r="P56" i="4"/>
  <c r="T56" i="4" s="1"/>
  <c r="H56" i="4"/>
  <c r="K56" i="4" s="1"/>
  <c r="P55" i="4"/>
  <c r="U55" i="4"/>
  <c r="U81" i="4" s="1"/>
  <c r="P81" i="4" l="1"/>
  <c r="P57" i="4"/>
  <c r="T57" i="4" s="1"/>
  <c r="H55" i="4"/>
  <c r="K55" i="4" s="1"/>
  <c r="J25" i="3"/>
  <c r="T59" i="4" l="1"/>
  <c r="H59" i="4"/>
  <c r="K59" i="4" s="1"/>
  <c r="T52" i="4"/>
  <c r="T81" i="4" l="1"/>
  <c r="X19" i="3"/>
  <c r="Y19" i="3"/>
  <c r="J22" i="3"/>
  <c r="X16" i="3" l="1"/>
  <c r="Y16" i="3"/>
  <c r="X33" i="3"/>
  <c r="Y33" i="3"/>
  <c r="S33" i="3"/>
  <c r="T33" i="3"/>
  <c r="S19" i="3"/>
  <c r="T19" i="3"/>
  <c r="S16" i="3"/>
  <c r="T16" i="3"/>
  <c r="G28" i="3"/>
  <c r="L28" i="3"/>
  <c r="M28" i="3"/>
  <c r="N28" i="3"/>
  <c r="O28" i="3"/>
  <c r="P28" i="3"/>
  <c r="Q28" i="3"/>
  <c r="M33" i="3"/>
  <c r="N33" i="3"/>
  <c r="T36" i="3" l="1"/>
  <c r="Y36" i="3"/>
  <c r="N36" i="3"/>
  <c r="M36" i="3"/>
  <c r="S36" i="3"/>
  <c r="X36" i="3"/>
  <c r="T11" i="4"/>
  <c r="T12" i="4" l="1"/>
  <c r="H80" i="4"/>
  <c r="J80" i="4" s="1"/>
  <c r="P66" i="5" l="1"/>
  <c r="U66" i="5" s="1"/>
  <c r="H66" i="5" l="1"/>
  <c r="T66" i="5" l="1"/>
  <c r="Q48" i="5" l="1"/>
  <c r="F40" i="5" l="1"/>
  <c r="F41" i="5" s="1"/>
  <c r="U54" i="5" l="1"/>
  <c r="T7" i="4" l="1"/>
  <c r="T51" i="5" l="1"/>
  <c r="V39" i="5" l="1"/>
  <c r="V41" i="5" s="1"/>
  <c r="U39" i="5"/>
  <c r="T11" i="5"/>
  <c r="U30" i="4"/>
  <c r="U31" i="4" s="1"/>
  <c r="T30" i="4"/>
  <c r="T31" i="4" s="1"/>
  <c r="T10" i="4"/>
  <c r="T9" i="4"/>
  <c r="V32" i="3"/>
  <c r="U32" i="3"/>
  <c r="W31" i="3"/>
  <c r="V31" i="3"/>
  <c r="U31" i="3"/>
  <c r="O27" i="6" l="1"/>
  <c r="S27" i="6"/>
  <c r="P26" i="6"/>
  <c r="Q26" i="6"/>
  <c r="R26" i="6"/>
  <c r="S26" i="6"/>
  <c r="S25" i="6"/>
  <c r="O24" i="6"/>
  <c r="S24" i="6"/>
  <c r="P19" i="6"/>
  <c r="S19" i="6"/>
  <c r="R14" i="4"/>
  <c r="S67" i="5"/>
  <c r="P11" i="6" s="1"/>
  <c r="T67" i="5"/>
  <c r="Q11" i="6" s="1"/>
  <c r="U67" i="5"/>
  <c r="R11" i="6" s="1"/>
  <c r="V67" i="5"/>
  <c r="S11" i="6" s="1"/>
  <c r="P7" i="6"/>
  <c r="Q7" i="6"/>
  <c r="R7" i="6"/>
  <c r="S7" i="6"/>
  <c r="S8" i="6"/>
  <c r="S22" i="6"/>
  <c r="O22" i="6"/>
  <c r="W33" i="3"/>
  <c r="R27" i="6" s="1"/>
  <c r="V33" i="3"/>
  <c r="Q27" i="6" s="1"/>
  <c r="U33" i="3"/>
  <c r="P27" i="6" s="1"/>
  <c r="W19" i="3"/>
  <c r="R25" i="6" s="1"/>
  <c r="V19" i="3"/>
  <c r="Q25" i="6" s="1"/>
  <c r="U19" i="3"/>
  <c r="P25" i="6" s="1"/>
  <c r="W16" i="3"/>
  <c r="V16" i="3"/>
  <c r="U16" i="3"/>
  <c r="S18" i="6"/>
  <c r="R18" i="6"/>
  <c r="Q18" i="6"/>
  <c r="P18" i="6"/>
  <c r="V37" i="4"/>
  <c r="S17" i="6" s="1"/>
  <c r="P16" i="6"/>
  <c r="V18" i="4"/>
  <c r="S15" i="6" s="1"/>
  <c r="U18" i="4"/>
  <c r="R15" i="6" s="1"/>
  <c r="T18" i="4"/>
  <c r="Q15" i="6" s="1"/>
  <c r="S18" i="4"/>
  <c r="P15" i="6" s="1"/>
  <c r="S14" i="4"/>
  <c r="T59" i="5"/>
  <c r="S48" i="5"/>
  <c r="P9" i="6" s="1"/>
  <c r="Q32" i="6"/>
  <c r="P32" i="6"/>
  <c r="T9" i="5"/>
  <c r="T13" i="5"/>
  <c r="T15" i="5"/>
  <c r="F56" i="5"/>
  <c r="G61" i="5"/>
  <c r="P61" i="5" s="1"/>
  <c r="T61" i="5" s="1"/>
  <c r="R24" i="6" l="1"/>
  <c r="W36" i="3"/>
  <c r="R22" i="6" s="1"/>
  <c r="P24" i="6"/>
  <c r="U36" i="3"/>
  <c r="P22" i="6" s="1"/>
  <c r="Q24" i="6"/>
  <c r="V36" i="3"/>
  <c r="P14" i="6"/>
  <c r="O14" i="6"/>
  <c r="G56" i="5"/>
  <c r="H56" i="5" s="1"/>
  <c r="K56" i="5" s="1"/>
  <c r="Q22" i="6"/>
  <c r="H61" i="5"/>
  <c r="K61" i="5" s="1"/>
  <c r="P56" i="5" l="1"/>
  <c r="V48" i="5"/>
  <c r="S9" i="6" s="1"/>
  <c r="O18" i="6" l="1"/>
  <c r="I27" i="3"/>
  <c r="I26" i="6"/>
  <c r="H26" i="6"/>
  <c r="C26" i="6"/>
  <c r="J27" i="3" l="1"/>
  <c r="I28" i="3"/>
  <c r="E26" i="6" s="1"/>
  <c r="J26" i="6"/>
  <c r="K27" i="3"/>
  <c r="K28" i="3" l="1"/>
  <c r="G26" i="6" s="1"/>
  <c r="I14" i="3"/>
  <c r="J14" i="3" s="1"/>
  <c r="H13" i="3"/>
  <c r="I13" i="3" s="1"/>
  <c r="K13" i="3" s="1"/>
  <c r="I12" i="3"/>
  <c r="K12" i="3" s="1"/>
  <c r="I11" i="3"/>
  <c r="K11" i="3" s="1"/>
  <c r="I15" i="3"/>
  <c r="K15" i="3"/>
  <c r="J15" i="3" l="1"/>
  <c r="J11" i="3"/>
  <c r="K14" i="3"/>
  <c r="J13" i="3"/>
  <c r="J12" i="3"/>
  <c r="T21" i="4"/>
  <c r="N18" i="4" l="1"/>
  <c r="R18" i="4"/>
  <c r="Q18" i="4"/>
  <c r="P18" i="4"/>
  <c r="O18" i="4"/>
  <c r="M18" i="4"/>
  <c r="L18" i="4"/>
  <c r="K18" i="4"/>
  <c r="I18" i="4"/>
  <c r="E19" i="6"/>
  <c r="H19" i="6"/>
  <c r="M24" i="4"/>
  <c r="I19" i="6" s="1"/>
  <c r="K19" i="6"/>
  <c r="N19" i="6"/>
  <c r="R24" i="4"/>
  <c r="O19" i="6" s="1"/>
  <c r="O15" i="6" l="1"/>
  <c r="Q38" i="5" l="1"/>
  <c r="P38" i="5"/>
  <c r="O38" i="5"/>
  <c r="L38" i="5"/>
  <c r="L41" i="5" s="1"/>
  <c r="K38" i="5"/>
  <c r="K41" i="5" s="1"/>
  <c r="J38" i="5"/>
  <c r="J41" i="5" s="1"/>
  <c r="I38" i="5"/>
  <c r="I41" i="5" s="1"/>
  <c r="S38" i="5" l="1"/>
  <c r="S41" i="5" s="1"/>
  <c r="P8" i="6" s="1"/>
  <c r="O41" i="5"/>
  <c r="T38" i="5"/>
  <c r="P41" i="5"/>
  <c r="U38" i="5"/>
  <c r="Q41" i="5"/>
  <c r="R37" i="4"/>
  <c r="M37" i="4"/>
  <c r="O16" i="6"/>
  <c r="N14" i="4"/>
  <c r="M14" i="4"/>
  <c r="T41" i="5" l="1"/>
  <c r="Q8" i="6" s="1"/>
  <c r="U41" i="5"/>
  <c r="R8" i="6" s="1"/>
  <c r="M87" i="4"/>
  <c r="O17" i="6"/>
  <c r="R87" i="4"/>
  <c r="O13" i="6" s="1"/>
  <c r="H10" i="4"/>
  <c r="G16" i="3" l="1"/>
  <c r="H16" i="3"/>
  <c r="I16" i="3"/>
  <c r="J16" i="3"/>
  <c r="K16" i="3"/>
  <c r="O16" i="3"/>
  <c r="P16" i="3"/>
  <c r="Q16" i="3"/>
  <c r="R16" i="3"/>
  <c r="L10" i="3"/>
  <c r="L16" i="3" s="1"/>
  <c r="B24" i="6" l="1"/>
  <c r="H9" i="4"/>
  <c r="M32" i="6" l="1"/>
  <c r="L32" i="6"/>
  <c r="K32" i="6"/>
  <c r="G32" i="6"/>
  <c r="F32" i="6"/>
  <c r="E32" i="6"/>
  <c r="U30" i="5" l="1"/>
  <c r="V30" i="5" s="1"/>
  <c r="U31" i="5"/>
  <c r="U23" i="5"/>
  <c r="R67" i="5"/>
  <c r="O11" i="6" s="1"/>
  <c r="Q67" i="5"/>
  <c r="N11" i="6" s="1"/>
  <c r="P67" i="5"/>
  <c r="M11" i="6" s="1"/>
  <c r="O67" i="5"/>
  <c r="L11" i="6" s="1"/>
  <c r="N67" i="5"/>
  <c r="K11" i="6" s="1"/>
  <c r="M67" i="5"/>
  <c r="I11" i="6" s="1"/>
  <c r="L67" i="5"/>
  <c r="H11" i="6" s="1"/>
  <c r="K67" i="5"/>
  <c r="G11" i="6" s="1"/>
  <c r="I67" i="5"/>
  <c r="E11" i="6" s="1"/>
  <c r="H67" i="5"/>
  <c r="D11" i="6" s="1"/>
  <c r="G67" i="5"/>
  <c r="C11" i="6" s="1"/>
  <c r="F67" i="5"/>
  <c r="B11" i="6" s="1"/>
  <c r="K10" i="6"/>
  <c r="E10" i="6"/>
  <c r="J67" i="5"/>
  <c r="F11" i="6" s="1"/>
  <c r="R48" i="5"/>
  <c r="O9" i="6" s="1"/>
  <c r="N9" i="6"/>
  <c r="N48" i="5"/>
  <c r="K9" i="6" s="1"/>
  <c r="M48" i="5"/>
  <c r="I9" i="6" s="1"/>
  <c r="L48" i="5"/>
  <c r="H9" i="6" s="1"/>
  <c r="I48" i="5"/>
  <c r="E9" i="6" s="1"/>
  <c r="O8" i="6"/>
  <c r="N8" i="6"/>
  <c r="M8" i="6"/>
  <c r="K8" i="6"/>
  <c r="I8" i="6"/>
  <c r="E8" i="6"/>
  <c r="B8" i="6"/>
  <c r="L8" i="6"/>
  <c r="O7" i="6"/>
  <c r="N7" i="6"/>
  <c r="K7" i="6"/>
  <c r="I7" i="6"/>
  <c r="H7" i="6"/>
  <c r="E7" i="6"/>
  <c r="C7" i="6"/>
  <c r="G16" i="5"/>
  <c r="H16" i="5" s="1"/>
  <c r="L16" i="5" s="1"/>
  <c r="G26" i="5"/>
  <c r="G14" i="5"/>
  <c r="H14" i="5" s="1"/>
  <c r="L14" i="5" s="1"/>
  <c r="L20" i="5" s="1"/>
  <c r="G9" i="5"/>
  <c r="G13" i="5"/>
  <c r="H13" i="5" s="1"/>
  <c r="K13" i="5" s="1"/>
  <c r="G15" i="5"/>
  <c r="H15" i="5" s="1"/>
  <c r="K15" i="5" s="1"/>
  <c r="G55" i="5"/>
  <c r="P55" i="5" s="1"/>
  <c r="T57" i="5"/>
  <c r="N18" i="6"/>
  <c r="M18" i="6"/>
  <c r="L18" i="6"/>
  <c r="K18" i="6"/>
  <c r="C18" i="6"/>
  <c r="Q37" i="4"/>
  <c r="E16" i="6"/>
  <c r="C16" i="6"/>
  <c r="N15" i="6"/>
  <c r="M15" i="6"/>
  <c r="L15" i="6"/>
  <c r="K15" i="6"/>
  <c r="H15" i="6"/>
  <c r="G15" i="6"/>
  <c r="E15" i="6"/>
  <c r="L14" i="4"/>
  <c r="I14" i="4"/>
  <c r="T8" i="4"/>
  <c r="K14" i="4"/>
  <c r="N24" i="6"/>
  <c r="L24" i="6"/>
  <c r="R33" i="3"/>
  <c r="N27" i="6" s="1"/>
  <c r="Q33" i="3"/>
  <c r="M27" i="6" s="1"/>
  <c r="P33" i="3"/>
  <c r="L27" i="6" s="1"/>
  <c r="O33" i="3"/>
  <c r="K27" i="6" s="1"/>
  <c r="L33" i="3"/>
  <c r="H27" i="6" s="1"/>
  <c r="K33" i="3"/>
  <c r="G27" i="6" s="1"/>
  <c r="J33" i="3"/>
  <c r="I33" i="3"/>
  <c r="E27" i="6" s="1"/>
  <c r="D27" i="6"/>
  <c r="G33" i="3"/>
  <c r="C27" i="6" s="1"/>
  <c r="B27" i="6"/>
  <c r="R19" i="3"/>
  <c r="Q19" i="3"/>
  <c r="P19" i="3"/>
  <c r="O19" i="3"/>
  <c r="L19" i="3"/>
  <c r="K19" i="3"/>
  <c r="J19" i="3"/>
  <c r="I19" i="3"/>
  <c r="H19" i="3"/>
  <c r="G19" i="3"/>
  <c r="K24" i="6"/>
  <c r="E24" i="6"/>
  <c r="D24" i="6"/>
  <c r="P36" i="3" l="1"/>
  <c r="G36" i="3"/>
  <c r="Q36" i="3"/>
  <c r="L36" i="3"/>
  <c r="K36" i="3"/>
  <c r="O36" i="3"/>
  <c r="K22" i="6" s="1"/>
  <c r="R36" i="3"/>
  <c r="N22" i="6" s="1"/>
  <c r="I36" i="3"/>
  <c r="E22" i="6" s="1"/>
  <c r="V23" i="5"/>
  <c r="H26" i="5"/>
  <c r="L26" i="5" s="1"/>
  <c r="L32" i="5" s="1"/>
  <c r="H9" i="5"/>
  <c r="H8" i="6"/>
  <c r="N17" i="6"/>
  <c r="J27" i="6"/>
  <c r="V31" i="5"/>
  <c r="J15" i="6"/>
  <c r="J18" i="6"/>
  <c r="J8" i="6"/>
  <c r="J11" i="6"/>
  <c r="U29" i="5"/>
  <c r="M16" i="6"/>
  <c r="R16" i="6"/>
  <c r="N32" i="6"/>
  <c r="U8" i="4"/>
  <c r="N16" i="6"/>
  <c r="T55" i="5"/>
  <c r="L16" i="6"/>
  <c r="Q16" i="6"/>
  <c r="N37" i="4"/>
  <c r="S37" i="4"/>
  <c r="S87" i="4" s="1"/>
  <c r="B25" i="6"/>
  <c r="C25" i="6"/>
  <c r="C22" i="6"/>
  <c r="G22" i="6"/>
  <c r="M22" i="6"/>
  <c r="D25" i="6"/>
  <c r="E25" i="6"/>
  <c r="L22" i="6"/>
  <c r="K16" i="6"/>
  <c r="F27" i="6"/>
  <c r="F24" i="6"/>
  <c r="C24" i="6"/>
  <c r="G24" i="6"/>
  <c r="M24" i="6"/>
  <c r="J24" i="6" s="1"/>
  <c r="G14" i="6"/>
  <c r="K14" i="6"/>
  <c r="E14" i="6"/>
  <c r="H14" i="6"/>
  <c r="L7" i="6"/>
  <c r="M7" i="6"/>
  <c r="D7" i="6"/>
  <c r="I32" i="6"/>
  <c r="F8" i="6"/>
  <c r="R16" i="5"/>
  <c r="V16" i="5" s="1"/>
  <c r="C8" i="6"/>
  <c r="D8" i="6"/>
  <c r="H55" i="5"/>
  <c r="K55" i="5" s="1"/>
  <c r="R14" i="5"/>
  <c r="R20" i="5" s="1"/>
  <c r="P13" i="5"/>
  <c r="U13" i="5" s="1"/>
  <c r="P15" i="5"/>
  <c r="U15" i="5" s="1"/>
  <c r="R26" i="5"/>
  <c r="P9" i="5"/>
  <c r="P20" i="5" l="1"/>
  <c r="V14" i="5"/>
  <c r="V26" i="5"/>
  <c r="R32" i="5"/>
  <c r="O32" i="6" s="1"/>
  <c r="J32" i="6" s="1"/>
  <c r="K9" i="5"/>
  <c r="K20" i="5" s="1"/>
  <c r="U9" i="5"/>
  <c r="G8" i="6"/>
  <c r="K17" i="6"/>
  <c r="N87" i="4"/>
  <c r="K13" i="6" s="1"/>
  <c r="J25" i="6"/>
  <c r="J22" i="6"/>
  <c r="U55" i="5"/>
  <c r="J7" i="6"/>
  <c r="J16" i="6"/>
  <c r="V29" i="5"/>
  <c r="S16" i="6"/>
  <c r="P17" i="6"/>
  <c r="P13" i="6"/>
  <c r="H32" i="6"/>
  <c r="F7" i="6"/>
  <c r="B7" i="6"/>
  <c r="G7" i="6"/>
  <c r="H14" i="4" l="1"/>
  <c r="D14" i="6" l="1"/>
  <c r="I76" i="4" l="1"/>
  <c r="I77" i="4"/>
  <c r="L37" i="4"/>
  <c r="J76" i="4" l="1"/>
  <c r="I81" i="4"/>
  <c r="E18" i="6" s="1"/>
  <c r="H17" i="6"/>
  <c r="J77" i="4"/>
  <c r="K77" i="4"/>
  <c r="K81" i="4" s="1"/>
  <c r="K76" i="4"/>
  <c r="J81" i="4" l="1"/>
  <c r="F18" i="6"/>
  <c r="H24" i="6"/>
  <c r="H22" i="6"/>
  <c r="I37" i="4"/>
  <c r="I87" i="4" s="1"/>
  <c r="G62" i="5"/>
  <c r="H62" i="5" s="1"/>
  <c r="K62" i="5" s="1"/>
  <c r="G60" i="5"/>
  <c r="E13" i="6" l="1"/>
  <c r="E17" i="6"/>
  <c r="H60" i="5"/>
  <c r="K60" i="5" s="1"/>
  <c r="P60" i="5"/>
  <c r="T60" i="5" s="1"/>
  <c r="P62" i="5"/>
  <c r="T62" i="5" s="1"/>
  <c r="G52" i="5" l="1"/>
  <c r="G59" i="5"/>
  <c r="P10" i="6" l="1"/>
  <c r="O10" i="6"/>
  <c r="H59" i="5"/>
  <c r="K59" i="5" s="1"/>
  <c r="P59" i="5"/>
  <c r="F10" i="6"/>
  <c r="H52" i="5"/>
  <c r="K52" i="5" s="1"/>
  <c r="P52" i="5"/>
  <c r="K63" i="5" l="1"/>
  <c r="P63" i="5"/>
  <c r="U59" i="5"/>
  <c r="T52" i="5"/>
  <c r="T63" i="5" s="1"/>
  <c r="S10" i="6"/>
  <c r="L10" i="6"/>
  <c r="Q10" i="6" l="1"/>
  <c r="U52" i="5"/>
  <c r="I10" i="6"/>
  <c r="J14" i="4"/>
  <c r="G18" i="4" l="1"/>
  <c r="H18" i="4"/>
  <c r="O14" i="4"/>
  <c r="L14" i="6" s="1"/>
  <c r="F18" i="4"/>
  <c r="F16" i="6"/>
  <c r="F14" i="6"/>
  <c r="J18" i="4" l="1"/>
  <c r="C15" i="6"/>
  <c r="B15" i="6"/>
  <c r="D15" i="6"/>
  <c r="F15" i="6" l="1"/>
  <c r="J48" i="5" l="1"/>
  <c r="F9" i="6" l="1"/>
  <c r="T47" i="5"/>
  <c r="T48" i="5" s="1"/>
  <c r="O48" i="5"/>
  <c r="Q9" i="6" l="1"/>
  <c r="L9" i="6"/>
  <c r="P48" i="5"/>
  <c r="U47" i="5"/>
  <c r="U48" i="5" s="1"/>
  <c r="G47" i="5"/>
  <c r="G48" i="5" s="1"/>
  <c r="C9" i="6" l="1"/>
  <c r="R9" i="6"/>
  <c r="M9" i="6"/>
  <c r="J9" i="6" s="1"/>
  <c r="H47" i="5"/>
  <c r="H48" i="5" s="1"/>
  <c r="K48" i="5"/>
  <c r="G9" i="6" s="1"/>
  <c r="F47" i="5" l="1"/>
  <c r="F48" i="5" s="1"/>
  <c r="D9" i="6"/>
  <c r="B9" i="6" l="1"/>
  <c r="H18" i="5"/>
  <c r="U12" i="5"/>
  <c r="V12" i="5" s="1"/>
  <c r="G12" i="5"/>
  <c r="U19" i="5"/>
  <c r="V19" i="5" s="1"/>
  <c r="G19" i="5"/>
  <c r="H12" i="5"/>
  <c r="T18" i="5"/>
  <c r="T20" i="5" s="1"/>
  <c r="G18" i="5"/>
  <c r="U18" i="5" l="1"/>
  <c r="F18" i="5"/>
  <c r="H19" i="5"/>
  <c r="F19" i="5" s="1"/>
  <c r="H28" i="5" l="1"/>
  <c r="G10" i="5"/>
  <c r="U28" i="5"/>
  <c r="U11" i="5"/>
  <c r="U20" i="5" s="1"/>
  <c r="V10" i="5" l="1"/>
  <c r="G28" i="5"/>
  <c r="F28" i="5" s="1"/>
  <c r="V28" i="5"/>
  <c r="U27" i="5"/>
  <c r="U32" i="5" s="1"/>
  <c r="R32" i="6" s="1"/>
  <c r="V20" i="5" l="1"/>
  <c r="V27" i="5"/>
  <c r="G27" i="5"/>
  <c r="V11" i="5"/>
  <c r="G11" i="5"/>
  <c r="G20" i="5" s="1"/>
  <c r="H10" i="5" l="1"/>
  <c r="F10" i="5" l="1"/>
  <c r="F20" i="5" s="1"/>
  <c r="H25" i="5"/>
  <c r="G25" i="5"/>
  <c r="V25" i="5"/>
  <c r="V32" i="5" s="1"/>
  <c r="S32" i="6" s="1"/>
  <c r="G32" i="5" l="1"/>
  <c r="C32" i="6" s="1"/>
  <c r="F25" i="5"/>
  <c r="H27" i="5" l="1"/>
  <c r="H11" i="5"/>
  <c r="H20" i="5" s="1"/>
  <c r="F27" i="5" l="1"/>
  <c r="F32" i="5" s="1"/>
  <c r="B32" i="6" s="1"/>
  <c r="H32" i="5"/>
  <c r="D32" i="6" s="1"/>
  <c r="G51" i="5"/>
  <c r="U51" i="5"/>
  <c r="U63" i="5" s="1"/>
  <c r="R10" i="6" l="1"/>
  <c r="N10" i="6"/>
  <c r="G53" i="5"/>
  <c r="H53" i="5" l="1"/>
  <c r="F53" i="5" s="1"/>
  <c r="H51" i="5"/>
  <c r="M10" i="6"/>
  <c r="J10" i="6" s="1"/>
  <c r="G54" i="5"/>
  <c r="G63" i="5" s="1"/>
  <c r="F51" i="5" l="1"/>
  <c r="H10" i="6"/>
  <c r="C10" i="6" l="1"/>
  <c r="H54" i="5"/>
  <c r="G10" i="6"/>
  <c r="F54" i="5" l="1"/>
  <c r="F63" i="5" s="1"/>
  <c r="B10" i="6" s="1"/>
  <c r="H63" i="5"/>
  <c r="D10" i="6" l="1"/>
  <c r="T35" i="4"/>
  <c r="U35" i="4"/>
  <c r="G35" i="4"/>
  <c r="T36" i="4"/>
  <c r="O37" i="4"/>
  <c r="L17" i="6" s="1"/>
  <c r="T37" i="4" l="1"/>
  <c r="Q17" i="6" s="1"/>
  <c r="U36" i="4"/>
  <c r="U37" i="4" s="1"/>
  <c r="G36" i="4"/>
  <c r="G37" i="4" s="1"/>
  <c r="P37" i="4"/>
  <c r="M17" i="6" s="1"/>
  <c r="J17" i="6" s="1"/>
  <c r="C17" i="6" l="1"/>
  <c r="R17" i="6"/>
  <c r="H35" i="4"/>
  <c r="F35" i="4" l="1"/>
  <c r="J37" i="4"/>
  <c r="F17" i="6" l="1"/>
  <c r="K37" i="4"/>
  <c r="H36" i="4"/>
  <c r="H37" i="4" s="1"/>
  <c r="D17" i="6" l="1"/>
  <c r="F36" i="4"/>
  <c r="F37" i="4" s="1"/>
  <c r="G17" i="6"/>
  <c r="B17" i="6" l="1"/>
  <c r="F28" i="4"/>
  <c r="H29" i="4"/>
  <c r="F29" i="4" s="1"/>
  <c r="G16" i="6"/>
  <c r="H27" i="4"/>
  <c r="H16" i="6"/>
  <c r="H31" i="4" l="1"/>
  <c r="F27" i="4"/>
  <c r="F31" i="4" s="1"/>
  <c r="D16" i="6" l="1"/>
  <c r="B16" i="6"/>
  <c r="G21" i="4"/>
  <c r="U24" i="4"/>
  <c r="R19" i="6" l="1"/>
  <c r="M19" i="6"/>
  <c r="O87" i="4"/>
  <c r="L13" i="6" s="1"/>
  <c r="G23" i="4"/>
  <c r="G24" i="4" s="1"/>
  <c r="L19" i="6" l="1"/>
  <c r="J19" i="6" s="1"/>
  <c r="T23" i="4"/>
  <c r="C19" i="6"/>
  <c r="F23" i="4"/>
  <c r="J87" i="4"/>
  <c r="F13" i="6" s="1"/>
  <c r="G19" i="6"/>
  <c r="H21" i="4"/>
  <c r="F21" i="4" l="1"/>
  <c r="F24" i="4" s="1"/>
  <c r="B19" i="6" s="1"/>
  <c r="H24" i="4"/>
  <c r="T24" i="4"/>
  <c r="Q19" i="6" s="1"/>
  <c r="F19" i="6"/>
  <c r="D19" i="6" l="1"/>
  <c r="C6" i="6"/>
  <c r="G69" i="5"/>
  <c r="C5" i="6" s="1"/>
  <c r="B6" i="6"/>
  <c r="F69" i="5"/>
  <c r="B5" i="6" s="1"/>
  <c r="L6" i="6"/>
  <c r="E6" i="6"/>
  <c r="P6" i="6"/>
  <c r="I6" i="6"/>
  <c r="F6" i="6"/>
  <c r="S6" i="6"/>
  <c r="Q6" i="6"/>
  <c r="G6" i="6"/>
  <c r="J69" i="5"/>
  <c r="F5" i="6" s="1"/>
  <c r="D6" i="6"/>
  <c r="M69" i="5"/>
  <c r="I5" i="6" s="1"/>
  <c r="I29" i="6" s="1"/>
  <c r="O69" i="5"/>
  <c r="L5" i="6" s="1"/>
  <c r="L29" i="6" s="1"/>
  <c r="H6" i="6"/>
  <c r="S69" i="5"/>
  <c r="P5" i="6" s="1"/>
  <c r="P29" i="6" s="1"/>
  <c r="R6" i="6"/>
  <c r="M6" i="6"/>
  <c r="O6" i="6"/>
  <c r="K69" i="5"/>
  <c r="G5" i="6" s="1"/>
  <c r="H69" i="5"/>
  <c r="D5" i="6" s="1"/>
  <c r="L69" i="5"/>
  <c r="H5" i="6" s="1"/>
  <c r="N6" i="6"/>
  <c r="T69" i="5"/>
  <c r="Q5" i="6" s="1"/>
  <c r="I69" i="5"/>
  <c r="E5" i="6" s="1"/>
  <c r="E29" i="6" s="1"/>
  <c r="K6" i="6"/>
  <c r="U69" i="5"/>
  <c r="R5" i="6" s="1"/>
  <c r="R69" i="5"/>
  <c r="O5" i="6" s="1"/>
  <c r="O29" i="6" s="1"/>
  <c r="N69" i="5"/>
  <c r="K5" i="6" s="1"/>
  <c r="Q69" i="5"/>
  <c r="N5" i="6" s="1"/>
  <c r="V69" i="5"/>
  <c r="S5" i="6" s="1"/>
  <c r="P69" i="5"/>
  <c r="M5" i="6" s="1"/>
  <c r="J6" i="6" l="1"/>
  <c r="J5" i="6"/>
  <c r="K29" i="6"/>
  <c r="H40" i="4" l="1"/>
  <c r="F40" i="4" l="1"/>
  <c r="H47" i="4"/>
  <c r="F47" i="4" s="1"/>
  <c r="H48" i="4" l="1"/>
  <c r="F48" i="4" l="1"/>
  <c r="H45" i="4"/>
  <c r="F45" i="4" l="1"/>
  <c r="H46" i="4" l="1"/>
  <c r="F46" i="4" s="1"/>
  <c r="H41" i="4"/>
  <c r="G18" i="6"/>
  <c r="H18" i="6"/>
  <c r="H42" i="4"/>
  <c r="F41" i="4" l="1"/>
  <c r="F81" i="4" s="1"/>
  <c r="H81" i="4"/>
  <c r="H87" i="4" s="1"/>
  <c r="D13" i="6" s="1"/>
  <c r="F42" i="4"/>
  <c r="L87" i="4"/>
  <c r="H13" i="6" s="1"/>
  <c r="H29" i="6" s="1"/>
  <c r="K87" i="4"/>
  <c r="G13" i="6" s="1"/>
  <c r="G29" i="6" s="1"/>
  <c r="T13" i="4"/>
  <c r="T14" i="4" s="1"/>
  <c r="T87" i="4" s="1"/>
  <c r="Q13" i="6" s="1"/>
  <c r="Q29" i="6" s="1"/>
  <c r="Q14" i="4"/>
  <c r="N14" i="6" s="1"/>
  <c r="P14" i="4"/>
  <c r="M14" i="6" s="1"/>
  <c r="V13" i="4"/>
  <c r="V14" i="4" s="1"/>
  <c r="S14" i="6" s="1"/>
  <c r="G13" i="4"/>
  <c r="G14" i="4" s="1"/>
  <c r="B18" i="6" l="1"/>
  <c r="Q87" i="4"/>
  <c r="N13" i="6" s="1"/>
  <c r="N29" i="6" s="1"/>
  <c r="D18" i="6"/>
  <c r="U13" i="4"/>
  <c r="U14" i="4" s="1"/>
  <c r="R14" i="6" s="1"/>
  <c r="P87" i="4"/>
  <c r="M13" i="6" s="1"/>
  <c r="V87" i="4"/>
  <c r="S13" i="6" s="1"/>
  <c r="S29" i="6" s="1"/>
  <c r="J14" i="6"/>
  <c r="Q14" i="6"/>
  <c r="U87" i="4"/>
  <c r="R13" i="6" s="1"/>
  <c r="R29" i="6" s="1"/>
  <c r="C14" i="6"/>
  <c r="G87" i="4"/>
  <c r="C13" i="6" s="1"/>
  <c r="C29" i="6" s="1"/>
  <c r="F13" i="4"/>
  <c r="F14" i="4" s="1"/>
  <c r="J13" i="6" l="1"/>
  <c r="J29" i="6" s="1"/>
  <c r="M29" i="6"/>
  <c r="F87" i="4"/>
  <c r="B13" i="6" s="1"/>
  <c r="B14" i="6"/>
  <c r="F23" i="3"/>
  <c r="J28" i="3"/>
  <c r="F26" i="6" s="1"/>
  <c r="H24" i="3"/>
  <c r="F24" i="3" s="1"/>
  <c r="H28" i="3"/>
  <c r="H36" i="3" s="1"/>
  <c r="D22" i="6" s="1"/>
  <c r="D29" i="6" s="1"/>
  <c r="F28" i="3" l="1"/>
  <c r="B26" i="6" s="1"/>
  <c r="D26" i="6"/>
  <c r="J36" i="3"/>
  <c r="F22" i="6" s="1"/>
  <c r="F29" i="6" s="1"/>
  <c r="F36" i="3" l="1"/>
  <c r="B22" i="6" s="1"/>
  <c r="B29" i="6" s="1"/>
</calcChain>
</file>

<file path=xl/comments1.xml><?xml version="1.0" encoding="utf-8"?>
<comments xmlns="http://schemas.openxmlformats.org/spreadsheetml/2006/main">
  <authors>
    <author>Kypusová Marta</author>
  </authors>
  <commentList>
    <comment ref="B25" author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projekt byl vyřazen z priorit na základě vyjádření Policie ČR, která nedá k dané stavbě povolení</t>
        </r>
      </text>
    </comment>
  </commentList>
</comments>
</file>

<file path=xl/comments2.xml><?xml version="1.0" encoding="utf-8"?>
<comments xmlns="http://schemas.openxmlformats.org/spreadsheetml/2006/main">
  <authors>
    <author>Kypusová Marta</author>
  </authors>
  <commentList>
    <comment ref="B40" author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Projekt vyřazen, nedodána PD, nejsme schopni doplnit žádost</t>
        </r>
      </text>
    </comment>
  </commentList>
</comments>
</file>

<file path=xl/sharedStrings.xml><?xml version="1.0" encoding="utf-8"?>
<sst xmlns="http://schemas.openxmlformats.org/spreadsheetml/2006/main" count="542" uniqueCount="196">
  <si>
    <t>Název projektu</t>
  </si>
  <si>
    <t>Celkové náklady</t>
  </si>
  <si>
    <t>Celkový podíl OK</t>
  </si>
  <si>
    <t>Realizace</t>
  </si>
  <si>
    <t>Poř. číslo</t>
  </si>
  <si>
    <t>Realizované projekty z evropských fondů</t>
  </si>
  <si>
    <t>Služby sociální prevence v Olomouckém kraji</t>
  </si>
  <si>
    <t>OSR</t>
  </si>
  <si>
    <t>2016-2018</t>
  </si>
  <si>
    <t>Celková dotace</t>
  </si>
  <si>
    <t>v Kč</t>
  </si>
  <si>
    <t>Podané žádosti o dotaci na projekty z evropských fondů</t>
  </si>
  <si>
    <t>Připravované projekty z evropských fondů</t>
  </si>
  <si>
    <t>Připravované projekty</t>
  </si>
  <si>
    <t>Podané projekty</t>
  </si>
  <si>
    <t>Realizované projekty</t>
  </si>
  <si>
    <t>Celkem</t>
  </si>
  <si>
    <t>Realizátor</t>
  </si>
  <si>
    <t>Snížení emisí z lokálního vytápění rodinných domů v Olomouckém kraji</t>
  </si>
  <si>
    <t>Dotace</t>
  </si>
  <si>
    <t>II/446 Uničov - Strukov</t>
  </si>
  <si>
    <t>OVZI</t>
  </si>
  <si>
    <t>Zvýšení přeshraniční dostupnosti Písečná - Nysa</t>
  </si>
  <si>
    <t>REÚO - OU Lipová lázně</t>
  </si>
  <si>
    <t>Realizace depozitáře pro Vědeckou knihovnu v Olomouci</t>
  </si>
  <si>
    <t>2017-2018</t>
  </si>
  <si>
    <t>2017-2019</t>
  </si>
  <si>
    <t>Muzeum Komenského v Přerově – rekonstrukce budovy</t>
  </si>
  <si>
    <t>Digitální povodňový plán Olomouckého kraje</t>
  </si>
  <si>
    <t>Kybernetická bezpečnost Krajského úřadu Olomouckého kraje</t>
  </si>
  <si>
    <t>Informační systém dopravy Olomouckého kraje</t>
  </si>
  <si>
    <t>Fall prevention project DOREEN</t>
  </si>
  <si>
    <t>Vincentinum Šternberk, příspěvková organizace – rekonstrukce budovy ve Vikýřovicích</t>
  </si>
  <si>
    <t>Centrum Dominika Kokory, p. o. – rekonstrukce budovy</t>
  </si>
  <si>
    <t>Realizace energeticky úsporných opatření- Nemocnice Přerov-domov sester (var. B)</t>
  </si>
  <si>
    <t>PO</t>
  </si>
  <si>
    <t>2018-2019</t>
  </si>
  <si>
    <t>2018-2020</t>
  </si>
  <si>
    <t>Dotační titul</t>
  </si>
  <si>
    <t>OPŽP</t>
  </si>
  <si>
    <t>IROP</t>
  </si>
  <si>
    <t>OPPS</t>
  </si>
  <si>
    <t>OPCE</t>
  </si>
  <si>
    <t>Dotační tituly:</t>
  </si>
  <si>
    <t>dotační titul</t>
  </si>
  <si>
    <t>IROP (ITI)</t>
  </si>
  <si>
    <t>OPZ</t>
  </si>
  <si>
    <t>OPVVV</t>
  </si>
  <si>
    <t>OPVVV - Operační program výzkum, vývoj a vzdělávání</t>
  </si>
  <si>
    <t>OPZ -       Operační program zaměstnanost</t>
  </si>
  <si>
    <t>IROP -       Integrovaný regionální operační program</t>
  </si>
  <si>
    <t>OPŽP -    Operační program životní prostředí</t>
  </si>
  <si>
    <t>OPPS -   Operační program přeshraniční spolupráce Česká republika - Polsko</t>
  </si>
  <si>
    <t>OPCE -   Operační program Centralní Evropa</t>
  </si>
  <si>
    <t>2016-2019</t>
  </si>
  <si>
    <t>Rozvoj regionálního partnerství v programovém období EU 2014-2020 -I.</t>
  </si>
  <si>
    <t>OPTP</t>
  </si>
  <si>
    <t>OPTP -    Operační program technické pomoci</t>
  </si>
  <si>
    <t>Projekt technické pomoci Olomouckého kraje v rámci INTERREG V-A Česká republika - Polsko</t>
  </si>
  <si>
    <t>2015-2020</t>
  </si>
  <si>
    <t>2016-2017</t>
  </si>
  <si>
    <t>Zavádění komplexního modelu terapií v Domově Na zámečku Rokytnice</t>
  </si>
  <si>
    <t>Projekt Smart Akcelerátor Olomouckého kraje</t>
  </si>
  <si>
    <t>REÚO - Gymnázium J. Blahoslava a SŠ pedagogická Přerov</t>
  </si>
  <si>
    <t>REÚO - SŠ technická a zemědělská Mohelnice</t>
  </si>
  <si>
    <t>REÚO - SOŠ lesnická Šternberk</t>
  </si>
  <si>
    <t>REÚO - SPŠ Hranice</t>
  </si>
  <si>
    <t>REÚO - SOŠ Šumperk - tělocvična</t>
  </si>
  <si>
    <t>REÚO - SŠ, ZŠ a MŠ Prostějov - budova MŠ, ul. St. Manharda</t>
  </si>
  <si>
    <t>Střední škola logistiky a chemie, Olomouc, U Hradiska 29 - Zateplení budovy školy</t>
  </si>
  <si>
    <t xml:space="preserve"> Hotelová škola Vincenze Priessnitze, Jeseník, Dukelská 680 - Zateplení budovy Kord</t>
  </si>
  <si>
    <t>Přeshraniční dostupnost Hanušovice – Stronie Ślaskie</t>
  </si>
  <si>
    <t>Transformace příspěvkové organizace Nové Zámky – poskytovatel sociálních služeb - I.etapa</t>
  </si>
  <si>
    <t>SOŠ lesnická Šternberk - domov mládeže</t>
  </si>
  <si>
    <t>2019-2020</t>
  </si>
  <si>
    <t>II/433 Prostějov - Mořice</t>
  </si>
  <si>
    <t>II/150 Prostějov - Přerov</t>
  </si>
  <si>
    <t>II/570 Slatinice - Olomouc</t>
  </si>
  <si>
    <t>II/444 kř. R35 Mohelnice - Úsov</t>
  </si>
  <si>
    <t>II/366 Prostějov - přeložka silnice</t>
  </si>
  <si>
    <t>IROP(ITI)</t>
  </si>
  <si>
    <t>II/488 Olomouc -přeložka silnice (I.etapa)</t>
  </si>
  <si>
    <t>Dětské centrum Ostrůvek- Zateplení objektu D,Mošnerova 1</t>
  </si>
  <si>
    <t>II/444 Šternberk - průtah</t>
  </si>
  <si>
    <t>II/369 Ostružná - Branná-rekonstrukce komunikace</t>
  </si>
  <si>
    <t>II/150 hranice kraje - Prostějov</t>
  </si>
  <si>
    <t>II/444 Mohelnice - křížení s železniční tratí</t>
  </si>
  <si>
    <t>II/150 Ohrozim - obchvat</t>
  </si>
  <si>
    <t>II/150 Vícov - obchvat</t>
  </si>
  <si>
    <t>oblast sociální</t>
  </si>
  <si>
    <t>Oblast životní prostředí</t>
  </si>
  <si>
    <t>KÚOK</t>
  </si>
  <si>
    <t>Celkem realizované projekty</t>
  </si>
  <si>
    <t>oblast životního prostředí</t>
  </si>
  <si>
    <t>oblast doprava</t>
  </si>
  <si>
    <t>oblast cestovního ruchu</t>
  </si>
  <si>
    <t>oblast zdravotnictví</t>
  </si>
  <si>
    <t>oblast školství</t>
  </si>
  <si>
    <t>oblast dopravy</t>
  </si>
  <si>
    <t>oblast kultury a památkové péče</t>
  </si>
  <si>
    <t>Zhodnocení a sjednocení procesů rozvoje kvality poskytování sociálních služeb v organizaci Centrum Dominika Kokory, p. o.</t>
  </si>
  <si>
    <t>oblast dopravy - další připravované projekty</t>
  </si>
  <si>
    <t>Oblast doprava - další připravované projekty</t>
  </si>
  <si>
    <t>ZZS OK - Modernizace výcvikových středisek</t>
  </si>
  <si>
    <t>ZZS OK - Výstavba nových výjezdových základen</t>
  </si>
  <si>
    <t>Domov mládeže v Žádlovicích - areál zámeckého parku</t>
  </si>
  <si>
    <t>Oblast školství</t>
  </si>
  <si>
    <t>Transformace příspěvkové organizace Nové Zámky – poskytovatel sociálních služeb -II.etapa</t>
  </si>
  <si>
    <t>Transformace příspěvkové organizace Nové Zámky – poskytovatel sociálních služeb -III.etapa</t>
  </si>
  <si>
    <t xml:space="preserve">IROP </t>
  </si>
  <si>
    <t>2018 - 2019</t>
  </si>
  <si>
    <t>předfinancování - příjem dotace</t>
  </si>
  <si>
    <t>Předfinancování - výdej</t>
  </si>
  <si>
    <t>Předfinancování - příjem dotace</t>
  </si>
  <si>
    <t xml:space="preserve">Předfinancování - výdej </t>
  </si>
  <si>
    <r>
      <t xml:space="preserve">Rekonstrukce dílen praktického vyučování a odborných laboratoří SPŠ Přerov, včetně vybavení a modernizace IT školy </t>
    </r>
    <r>
      <rPr>
        <i/>
        <sz val="11"/>
        <rFont val="Calibri"/>
        <family val="2"/>
        <charset val="238"/>
        <scheme val="minor"/>
      </rPr>
      <t>(Střední průmyslová škola Přerov)</t>
    </r>
  </si>
  <si>
    <t>Kofinancování a nezpůsobilé výdaje</t>
  </si>
  <si>
    <r>
      <t xml:space="preserve">Celkové náklady kraje                 </t>
    </r>
    <r>
      <rPr>
        <b/>
        <i/>
        <sz val="10"/>
        <color theme="1"/>
        <rFont val="Calibri"/>
        <family val="2"/>
        <charset val="238"/>
        <scheme val="minor"/>
      </rPr>
      <t>(kofinancování a nezpůsobilé výdaje)</t>
    </r>
  </si>
  <si>
    <t>Předfinancování dotace</t>
  </si>
  <si>
    <t>Podpora plánování sociálních služeb a sociální práce na území Olomouckého kraje a v návaznosti na zvyšování jejich dostupnosti a kvality</t>
  </si>
  <si>
    <t>ZZS OK - Výjezdové stanoviště Přerov - zateplení budovy</t>
  </si>
  <si>
    <t>ZZS OK - Výjezdové stanoviště Konice - zateplení budovy</t>
  </si>
  <si>
    <t>Střední škola gastronomie a farmářství Jeseník - Tělocvična (Horní Heřmanice)</t>
  </si>
  <si>
    <t>Muzeum Komenského v Přerově – záchrana a zpřístupnění paláce na hradě Helfštýn</t>
  </si>
  <si>
    <t>2017 - 2018</t>
  </si>
  <si>
    <r>
      <t xml:space="preserve">Modernizace učeben, vybavení a vnitřní konektivity školy </t>
    </r>
    <r>
      <rPr>
        <i/>
        <sz val="11"/>
        <rFont val="Calibri"/>
        <family val="2"/>
        <charset val="238"/>
        <scheme val="minor"/>
      </rPr>
      <t>(Gymnázium Olomouc-Hejčín)</t>
    </r>
  </si>
  <si>
    <r>
      <t xml:space="preserve">Rekonstrukce elektroinstalace hlavní budovy a modernizace vnitřní konektivity školy a nákup zemědělské techniky pro praktickou výuku </t>
    </r>
    <r>
      <rPr>
        <i/>
        <sz val="11"/>
        <rFont val="Calibri"/>
        <family val="2"/>
        <charset val="238"/>
        <scheme val="minor"/>
      </rPr>
      <t>(Střední škola zemědělská, Přerov, Osmek 47)</t>
    </r>
  </si>
  <si>
    <r>
      <t xml:space="preserve">Bezbariérový přístup do SPŠ Hranice a rekonstrukce chemické laboratoře </t>
    </r>
    <r>
      <rPr>
        <i/>
        <sz val="11"/>
        <rFont val="Calibri"/>
        <family val="2"/>
        <charset val="238"/>
        <scheme val="minor"/>
      </rPr>
      <t>(Střední průmyslová škola, Hranice)</t>
    </r>
  </si>
  <si>
    <r>
      <t xml:space="preserve">Centrum odborné přípravy pro obory řezbářství </t>
    </r>
    <r>
      <rPr>
        <i/>
        <sz val="11"/>
        <rFont val="Calibri"/>
        <family val="2"/>
        <charset val="238"/>
        <scheme val="minor"/>
      </rPr>
      <t>(Střední škola řezbářská, Tovačov)</t>
    </r>
  </si>
  <si>
    <r>
      <t>Centrum odborné přípravy technických oborů (COPTO)</t>
    </r>
    <r>
      <rPr>
        <i/>
        <sz val="11"/>
        <rFont val="Calibri"/>
        <family val="2"/>
        <charset val="238"/>
        <scheme val="minor"/>
      </rPr>
      <t xml:space="preserve"> (Střední škola technická a obchodní, Olomouc, Kosinova 4)</t>
    </r>
  </si>
  <si>
    <r>
      <t xml:space="preserve">Vybudování učebny polytechnického vzdělávání </t>
    </r>
    <r>
      <rPr>
        <i/>
        <sz val="11"/>
        <rFont val="Calibri"/>
        <family val="2"/>
        <charset val="238"/>
        <scheme val="minor"/>
      </rPr>
      <t>(Gymnázium Jakuba Škody, Přerov)</t>
    </r>
  </si>
  <si>
    <r>
      <t>Vybudování chemické laboratoře, dvou jazykových učeben, vybudování fyzikální učebny a konektivity školy</t>
    </r>
    <r>
      <rPr>
        <i/>
        <sz val="11"/>
        <rFont val="Calibri"/>
        <family val="2"/>
        <charset val="238"/>
        <scheme val="minor"/>
      </rPr>
      <t xml:space="preserve"> (Gymnázium Jana Blahoslava a Střední pedagogická škola, Přerov) </t>
    </r>
  </si>
  <si>
    <r>
      <t xml:space="preserve">Modernizace infrastruktury Gymnázia Jiřího Wolkera-modernizace učeben ve vazbě na přírodní vědy a práce s digitálními technologiemi </t>
    </r>
    <r>
      <rPr>
        <i/>
        <sz val="11"/>
        <rFont val="Calibri"/>
        <family val="2"/>
        <charset val="238"/>
        <scheme val="minor"/>
      </rPr>
      <t>(Gymnázium Jiřího Wolkera, Prostějov)</t>
    </r>
  </si>
  <si>
    <r>
      <t>Rekonstrukce zastaralých laboratoří biologie a chemie včetně odborných učeben Bi a Ch, skladů a váhovny (</t>
    </r>
    <r>
      <rPr>
        <i/>
        <sz val="11"/>
        <rFont val="Calibri"/>
        <family val="2"/>
        <charset val="238"/>
        <scheme val="minor"/>
      </rPr>
      <t>Gymnázium Šternberk)</t>
    </r>
  </si>
  <si>
    <r>
      <t xml:space="preserve">Zřízení jazykové laboratoře, laboratoře fyziky a odborné učebny fyziky </t>
    </r>
    <r>
      <rPr>
        <i/>
        <sz val="11"/>
        <rFont val="Calibri"/>
        <family val="2"/>
        <charset val="238"/>
        <scheme val="minor"/>
      </rPr>
      <t>(Gymnázium Zábřeh)</t>
    </r>
  </si>
  <si>
    <r>
      <t xml:space="preserve">Modernizace a rekonstrukce odborných učeben </t>
    </r>
    <r>
      <rPr>
        <i/>
        <sz val="11"/>
        <rFont val="Calibri"/>
        <family val="2"/>
        <charset val="238"/>
      </rPr>
      <t xml:space="preserve">(Střední lesnická škola, Hranice) </t>
    </r>
  </si>
  <si>
    <r>
      <t xml:space="preserve">Pořízení CNC strojů, konvenčních obráběcích strojů a vybudování multifukční výukové učebny </t>
    </r>
    <r>
      <rPr>
        <i/>
        <sz val="11"/>
        <rFont val="Calibri"/>
        <family val="2"/>
        <charset val="238"/>
      </rPr>
      <t>(Střední odborná škola a střední odborné učiliště strojírenské a stavební, Jeseník)</t>
    </r>
  </si>
  <si>
    <r>
      <t>Pořízení techniky pro odbornou výuku a IT podporu (S</t>
    </r>
    <r>
      <rPr>
        <i/>
        <sz val="11"/>
        <rFont val="Calibri"/>
        <family val="2"/>
        <charset val="238"/>
      </rPr>
      <t>třední odborná škola lesnická a strojírenská Šternberk)</t>
    </r>
  </si>
  <si>
    <r>
      <t>Vybavení cukrářského praktického pracoviště, vybavení pracoviště kuchař (</t>
    </r>
    <r>
      <rPr>
        <i/>
        <sz val="11"/>
        <rFont val="Calibri"/>
        <family val="2"/>
        <charset val="238"/>
      </rPr>
      <t>Střední odborná škola obchodu a služeb Olomouc, Štursova14)</t>
    </r>
  </si>
  <si>
    <r>
      <t xml:space="preserve">Pořízení traktoru s čelním nakladačem pro výuku oboru agropodnikání </t>
    </r>
    <r>
      <rPr>
        <i/>
        <sz val="11"/>
        <rFont val="Calibri"/>
        <family val="2"/>
        <charset val="238"/>
      </rPr>
      <t>(Střední odborná škola Šumperk, Zemědělská 3)</t>
    </r>
  </si>
  <si>
    <r>
      <t>Modernizace vozového parku pro praktické vyučování a odborné praxe</t>
    </r>
    <r>
      <rPr>
        <i/>
        <sz val="11"/>
        <rFont val="Calibri"/>
        <family val="2"/>
        <charset val="238"/>
      </rPr>
      <t xml:space="preserve"> (Střední průmyslová škola Hranice)</t>
    </r>
  </si>
  <si>
    <r>
      <t xml:space="preserve">Modernizace učeben a vybavení pro odborný výcvik </t>
    </r>
    <r>
      <rPr>
        <i/>
        <sz val="11"/>
        <rFont val="Calibri"/>
        <family val="2"/>
        <charset val="238"/>
      </rPr>
      <t>(Střední škola gastronomie a farmářství Jeseník)</t>
    </r>
  </si>
  <si>
    <r>
      <t xml:space="preserve">Modernizace Střediska odborné přípravy žáků, včetně obnovy vybavení </t>
    </r>
    <r>
      <rPr>
        <i/>
        <sz val="11"/>
        <rFont val="Calibri"/>
        <family val="2"/>
        <charset val="238"/>
      </rPr>
      <t>(Střední škola gastronomie a služeb, Přerov, Šírava 7)</t>
    </r>
  </si>
  <si>
    <r>
      <t xml:space="preserve">Vybudování učeben pro výuku oborů Obalová technika, Tiskař na polygrafických strojích a Reprodukční grafik pro média včetně IT podpory </t>
    </r>
    <r>
      <rPr>
        <i/>
        <sz val="11"/>
        <rFont val="Calibri"/>
        <family val="2"/>
        <charset val="238"/>
      </rPr>
      <t>(Střední škola polygrafická Olomouc)</t>
    </r>
  </si>
  <si>
    <r>
      <t xml:space="preserve">Nákup vybavení a zařízení pro odbornou výuku včetně potřebného IT </t>
    </r>
    <r>
      <rPr>
        <i/>
        <sz val="11"/>
        <rFont val="Calibri"/>
        <family val="2"/>
        <charset val="238"/>
      </rPr>
      <t>(Střední škola řezbářská, Tovačov, Nádražní 146)</t>
    </r>
  </si>
  <si>
    <r>
      <t xml:space="preserve">Pořízení nových zařízení a vybavení pro odbornou výuku včetně IT podpory </t>
    </r>
    <r>
      <rPr>
        <i/>
        <sz val="11"/>
        <rFont val="Calibri"/>
        <family val="2"/>
        <charset val="238"/>
      </rPr>
      <t>(Střední zdravotnická škola a Vyšší odborná škola zdravotnická Emanuela P</t>
    </r>
    <r>
      <rPr>
        <sz val="11"/>
        <rFont val="Calibri"/>
        <family val="2"/>
        <charset val="238"/>
      </rPr>
      <t>ö</t>
    </r>
    <r>
      <rPr>
        <i/>
        <sz val="11"/>
        <rFont val="Calibri"/>
        <family val="2"/>
        <charset val="238"/>
      </rPr>
      <t>ttinga a Jazyková škola s právem státní jazykové zkoušky Olomouc)</t>
    </r>
  </si>
  <si>
    <r>
      <t>Modernizace a vybavení odborné učebny pro obor autolakýrník (</t>
    </r>
    <r>
      <rPr>
        <i/>
        <sz val="11"/>
        <rFont val="Calibri"/>
        <family val="2"/>
        <charset val="238"/>
        <scheme val="minor"/>
      </rPr>
      <t>Vyšší odborná škola a Střední automobilní , Zábřeh, U Dráhy 6)</t>
    </r>
  </si>
  <si>
    <r>
      <t xml:space="preserve">Šablony pro MŠ a ZŠ I </t>
    </r>
    <r>
      <rPr>
        <i/>
        <sz val="11"/>
        <rFont val="Calibri"/>
        <family val="2"/>
        <charset val="238"/>
        <scheme val="minor"/>
      </rPr>
      <t>(Základní škola Uničov)</t>
    </r>
  </si>
  <si>
    <t>Krajský akční plán rozvoje vzdělávání Olomouckého kraje</t>
  </si>
  <si>
    <t>2016-2021</t>
  </si>
  <si>
    <r>
      <t xml:space="preserve">Vybudování odborné učebny včetně vnitřního zařízení a materiálového vybavení ve středisku praktického vyučování v oboru instalatér a elektrikář a pořízení nákladního vozidla s přívěsem pro výuku řidičského oprávnění skupiny C a C+E , konektivita školy </t>
    </r>
    <r>
      <rPr>
        <i/>
        <sz val="11"/>
        <rFont val="Calibri"/>
        <family val="2"/>
        <charset val="238"/>
        <scheme val="minor"/>
      </rPr>
      <t>(Švehlova střední škola polytechnická Prostějov)</t>
    </r>
  </si>
  <si>
    <r>
      <t xml:space="preserve">Podpora rozvoje čtenářských a matematických dovedností žáků ZŠ </t>
    </r>
    <r>
      <rPr>
        <i/>
        <sz val="11"/>
        <rFont val="Calibri"/>
        <family val="2"/>
        <charset val="238"/>
      </rPr>
      <t>(Střední škola a Základní škola Lipník nad Bečvou, Osecká 301)</t>
    </r>
  </si>
  <si>
    <r>
      <t xml:space="preserve">Modernizace učeben odborného výcviku včetně SW pro CNC </t>
    </r>
    <r>
      <rPr>
        <i/>
        <sz val="11"/>
        <rFont val="Calibri"/>
        <family val="2"/>
        <charset val="238"/>
      </rPr>
      <t>(Střední škola polytechnická, Olomouc, Rooseveltova 79)</t>
    </r>
  </si>
  <si>
    <r>
      <t xml:space="preserve">Modernizace školních dílen jako centrum odborné přípravy </t>
    </r>
    <r>
      <rPr>
        <i/>
        <sz val="11"/>
        <rFont val="Calibri"/>
        <family val="2"/>
        <charset val="238"/>
        <scheme val="minor"/>
      </rPr>
      <t>(Sigmundova střední škola strojírenská, Lutín</t>
    </r>
    <r>
      <rPr>
        <sz val="11"/>
        <rFont val="Calibri"/>
        <family val="2"/>
        <charset val="238"/>
        <scheme val="minor"/>
      </rPr>
      <t>)</t>
    </r>
  </si>
  <si>
    <r>
      <t>Pořízení nových technologií pro odbornou výuku a vytvoření fyzikálně - chemické učebny a laboratoře na SŠTZ Mohelnice (</t>
    </r>
    <r>
      <rPr>
        <i/>
        <sz val="11"/>
        <rFont val="Calibri"/>
        <family val="2"/>
        <charset val="238"/>
        <scheme val="minor"/>
      </rPr>
      <t>Střední škola technická a zemědělská, Mohelnice, 1. Máje 2</t>
    </r>
  </si>
  <si>
    <r>
      <t xml:space="preserve">Modernizace učeben pro výuku odborných předmětů na SŠPS Lipník nad Bečvou </t>
    </r>
    <r>
      <rPr>
        <i/>
        <sz val="11"/>
        <rFont val="Calibri"/>
        <family val="2"/>
        <charset val="238"/>
      </rPr>
      <t>(Střední průmyslová škola stavební, Lipník nad Bečvou)</t>
    </r>
  </si>
  <si>
    <t>II/447 Strukov -Šternberk</t>
  </si>
  <si>
    <t>Realizace energeticky úsporných opatření - SPŠ elektrotechnická Mohelnice - škola, dílny</t>
  </si>
  <si>
    <t>Dětský domov a Školní jídelna, Olomouc, U Sportovní haly 1a a domov mládže při SŠ zdravotnické Olomouc - Zateplení budovy a lodžie</t>
  </si>
  <si>
    <t>Transformace příspěvkové organizace Nové Zámky – poskytovatel sociálních služeb -IV.etapa</t>
  </si>
  <si>
    <t>Poř. Číslo/priorita</t>
  </si>
  <si>
    <t>ZUŠ Iši Krejčího Olomouc, Na Vozovce 32 - Výměna oken a zateplení pláště budov na detašovaném pracovišti Jílová 43a</t>
  </si>
  <si>
    <t>II/366 Konice - Prostějov</t>
  </si>
  <si>
    <t>Oblast doprava</t>
  </si>
  <si>
    <t>Oblast sociální</t>
  </si>
  <si>
    <t>III/448 Drahanovice - Olomouc (Správa silnic Olomouckého kraje)</t>
  </si>
  <si>
    <r>
      <t xml:space="preserve">II/456 Žulová -křiž. II/457 </t>
    </r>
    <r>
      <rPr>
        <i/>
        <sz val="11"/>
        <rFont val="Calibri"/>
        <family val="2"/>
        <charset val="238"/>
        <scheme val="minor"/>
      </rPr>
      <t>(Správa silnic Olomouckého kraje)</t>
    </r>
  </si>
  <si>
    <r>
      <t xml:space="preserve">II/448 Laškov - Kandia-hr.okr. Ol </t>
    </r>
    <r>
      <rPr>
        <i/>
        <sz val="11"/>
        <rFont val="Calibri"/>
        <family val="2"/>
        <charset val="238"/>
        <scheme val="minor"/>
      </rPr>
      <t>(Správa silnic Olomouckého kraje)</t>
    </r>
  </si>
  <si>
    <r>
      <t xml:space="preserve">II/315 Hr.okr. Ústí nad O.-Zábřeh-Leština </t>
    </r>
    <r>
      <rPr>
        <i/>
        <sz val="11"/>
        <rFont val="Calibri"/>
        <family val="2"/>
        <charset val="238"/>
        <scheme val="minor"/>
      </rPr>
      <t>(Správa silnic Olomouckého kraje)</t>
    </r>
  </si>
  <si>
    <r>
      <t xml:space="preserve">II/444 Úsov - Uničov </t>
    </r>
    <r>
      <rPr>
        <i/>
        <sz val="11"/>
        <rFont val="Calibri"/>
        <family val="2"/>
        <charset val="238"/>
        <scheme val="minor"/>
      </rPr>
      <t>(Správa silnic Olomouckého kraje)</t>
    </r>
  </si>
  <si>
    <r>
      <t xml:space="preserve">II434 Hr. Okr. Kroměříž-Lipník nad Bečvou </t>
    </r>
    <r>
      <rPr>
        <i/>
        <sz val="11"/>
        <rFont val="Calibri"/>
        <family val="2"/>
        <charset val="238"/>
        <scheme val="minor"/>
      </rPr>
      <t>(Správa silnic Olomouckého kraje)</t>
    </r>
  </si>
  <si>
    <r>
      <t xml:space="preserve">II/449 Uničov - hr.okr. Bruntál </t>
    </r>
    <r>
      <rPr>
        <i/>
        <sz val="11"/>
        <rFont val="Calibri"/>
        <family val="2"/>
        <charset val="238"/>
        <scheme val="minor"/>
      </rPr>
      <t>(Správa silnic Olomouckého kraje)</t>
    </r>
  </si>
  <si>
    <r>
      <t xml:space="preserve">II/373 Chudobín - průtah  </t>
    </r>
    <r>
      <rPr>
        <i/>
        <sz val="11"/>
        <rFont val="Calibri"/>
        <family val="2"/>
        <charset val="238"/>
        <scheme val="minor"/>
      </rPr>
      <t>(Správa silnic Olomouckého kraje)</t>
    </r>
  </si>
  <si>
    <r>
      <t xml:space="preserve">Modernizace učeben a laboratoří na ulici Kouřílkova 8 a Bratří Hovůrkových 17 </t>
    </r>
    <r>
      <rPr>
        <i/>
        <sz val="11"/>
        <rFont val="Calibri"/>
        <family val="2"/>
        <charset val="238"/>
      </rPr>
      <t>(Střední škola technická, Přerov)</t>
    </r>
  </si>
  <si>
    <r>
      <t xml:space="preserve">Centrum polytechnické výchovy </t>
    </r>
    <r>
      <rPr>
        <i/>
        <sz val="11"/>
        <rFont val="Calibri"/>
        <family val="2"/>
        <charset val="238"/>
      </rPr>
      <t>(Střední škola polytechnická, Olomouc, Rooseveltova 79)</t>
    </r>
  </si>
  <si>
    <r>
      <t>Vybavení školních laboratoří v bezbariérové škole (</t>
    </r>
    <r>
      <rPr>
        <i/>
        <sz val="11"/>
        <rFont val="Calibri"/>
        <family val="2"/>
        <charset val="238"/>
        <scheme val="minor"/>
      </rPr>
      <t>Vyšší odborná škola a střední průmyslová škola elektrotechnická, Olomouc, Božetěchova 3)</t>
    </r>
  </si>
  <si>
    <r>
      <t xml:space="preserve">Bezbariérovost školy a Pořízení strojů pro zajištění výuky oborů Strojírenství, Elektrotechnika, Průmyslový a Interiérový design </t>
    </r>
    <r>
      <rPr>
        <i/>
        <sz val="11"/>
        <rFont val="Calibri"/>
        <family val="2"/>
        <charset val="238"/>
        <scheme val="minor"/>
      </rPr>
      <t>(Vyšší odborná škola a Střední průmyslová škola, Šumperk, Gen. Krátkého 1)</t>
    </r>
  </si>
  <si>
    <r>
      <t xml:space="preserve">Pořízení vybavení pro odborné učebny - modernizace CNC zařízení a 3D zařízení včetně SW, rekonstrukce nové učebny programovatelných automatů, modernizace konektivity školy ve vazbě na odborné předměty </t>
    </r>
    <r>
      <rPr>
        <i/>
        <sz val="11"/>
        <rFont val="Calibri"/>
        <family val="2"/>
        <charset val="238"/>
      </rPr>
      <t>(Střední průmyslová škola elektrotechnická, Mohelnice, Gen. Svobody 2)</t>
    </r>
  </si>
  <si>
    <r>
      <t xml:space="preserve">Výstavba odborných učeben pro výuku oboru 28-44-M/01 Aplikovaná chemie v bezbariérové škole </t>
    </r>
    <r>
      <rPr>
        <i/>
        <sz val="11"/>
        <rFont val="Calibri"/>
        <family val="2"/>
        <charset val="238"/>
      </rPr>
      <t>(Střední škola logistiky a chemie, Olomouc, U Hradiska 29)</t>
    </r>
  </si>
  <si>
    <r>
      <t>Celková rekonstrukce zastaralých laboratoří chemických, fyzikálních a biologických, včetně nového vybavení (</t>
    </r>
    <r>
      <rPr>
        <i/>
        <sz val="11"/>
        <rFont val="Calibri"/>
        <family val="2"/>
        <charset val="238"/>
        <scheme val="minor"/>
      </rPr>
      <t>Gymnázium Jeseník, Komenského 281)</t>
    </r>
  </si>
  <si>
    <r>
      <t>Videaumus Stimul-pojďme společně (</t>
    </r>
    <r>
      <rPr>
        <i/>
        <sz val="11"/>
        <rFont val="Calibri"/>
        <family val="2"/>
        <charset val="238"/>
        <scheme val="minor"/>
      </rPr>
      <t>Střední odborná škola průmyslová a Střední odborné učiliště strojírenské, Prostějov)</t>
    </r>
  </si>
  <si>
    <r>
      <t xml:space="preserve">Rozvoj funkčních gramotností k úspěšnému uplatnění v životě </t>
    </r>
    <r>
      <rPr>
        <i/>
        <sz val="11"/>
        <rFont val="Calibri"/>
        <family val="2"/>
        <charset val="238"/>
        <scheme val="minor"/>
      </rPr>
      <t>(Střední škola obchodu a služeb, Olomouc, Štursova 14)</t>
    </r>
  </si>
  <si>
    <r>
      <t xml:space="preserve">Most ev. Č. 644-007 Újezd u Mohelnice </t>
    </r>
    <r>
      <rPr>
        <i/>
        <sz val="11"/>
        <rFont val="Calibri"/>
        <family val="2"/>
        <charset val="238"/>
        <scheme val="minor"/>
      </rPr>
      <t>(Správa silnic Olomouckého kraje)</t>
    </r>
  </si>
  <si>
    <r>
      <t xml:space="preserve">II/449 Křiž. II/366-MÚK Unčovice </t>
    </r>
    <r>
      <rPr>
        <i/>
        <sz val="11"/>
        <rFont val="Calibri"/>
        <family val="2"/>
        <charset val="238"/>
        <scheme val="minor"/>
      </rPr>
      <t>(Správa silnic Olomouckého kraje)</t>
    </r>
  </si>
  <si>
    <r>
      <t xml:space="preserve">II/441 Křiž. R35 - hr.kraje Moravskoslezského </t>
    </r>
    <r>
      <rPr>
        <i/>
        <sz val="11"/>
        <rFont val="Calibri"/>
        <family val="2"/>
        <charset val="238"/>
        <scheme val="minor"/>
      </rPr>
      <t xml:space="preserve"> (Správa silnic Olomouckého kraje)</t>
    </r>
  </si>
  <si>
    <t>II/449 MÚK Unčovice - Litovel (extravilán)</t>
  </si>
  <si>
    <r>
      <t xml:space="preserve">Klíč - centrum sociálních služeb, p. o. - rekonstrukce budovy denního stacionáře Domino, Selské náměstí - </t>
    </r>
    <r>
      <rPr>
        <b/>
        <sz val="11"/>
        <rFont val="Calibri"/>
        <family val="2"/>
        <charset val="238"/>
        <scheme val="minor"/>
      </rPr>
      <t>v součané době se provádí revize PD, respektive  nákladů na stavení úpravy</t>
    </r>
  </si>
  <si>
    <r>
      <t xml:space="preserve">Rekonstrukce elektroinstalace a modernizace počítačové sítě v hlavní budově školy </t>
    </r>
    <r>
      <rPr>
        <i/>
        <sz val="11"/>
        <rFont val="Calibri"/>
        <family val="2"/>
        <charset val="238"/>
        <scheme val="minor"/>
      </rPr>
      <t>(Slovanské gymnázium, Olomouc)</t>
    </r>
  </si>
  <si>
    <r>
      <t xml:space="preserve">Výměna elektrických rozvodů a modernizace vnitřní konektivity školy </t>
    </r>
    <r>
      <rPr>
        <i/>
        <sz val="11"/>
        <rFont val="Calibri"/>
        <family val="2"/>
        <charset val="238"/>
        <scheme val="minor"/>
      </rPr>
      <t>(Obchodní akademie, Mohelnice)</t>
    </r>
  </si>
  <si>
    <t>Projekty Olomouckého kraje spolufinancované z evropských fondů</t>
  </si>
  <si>
    <r>
      <t xml:space="preserve">Pomoz mi, ať to zvládnu sám </t>
    </r>
    <r>
      <rPr>
        <i/>
        <sz val="11"/>
        <rFont val="Calibri"/>
        <family val="2"/>
        <charset val="238"/>
        <scheme val="minor"/>
      </rPr>
      <t>(Domov důchodců Štíty)</t>
    </r>
  </si>
  <si>
    <r>
      <t xml:space="preserve">Rozvoj kvality pečovatelské služby a rozšíření nabídky poskytovaných služeb pro sociální začleňování klientů </t>
    </r>
    <r>
      <rPr>
        <i/>
        <sz val="11"/>
        <rFont val="Calibri"/>
        <family val="2"/>
        <charset val="238"/>
        <scheme val="minor"/>
      </rPr>
      <t>(Domov důchodců Šumperk)</t>
    </r>
  </si>
  <si>
    <r>
      <t>Aktivizace v POHODĚ (</t>
    </r>
    <r>
      <rPr>
        <i/>
        <sz val="11"/>
        <rFont val="Calibri"/>
        <family val="2"/>
        <charset val="238"/>
        <scheme val="minor"/>
      </rPr>
      <t>Domov seniorů POHODA Chválkovice)</t>
    </r>
  </si>
  <si>
    <r>
      <t xml:space="preserve">Spolupráce jako nástroj ve vzdělávání </t>
    </r>
    <r>
      <rPr>
        <i/>
        <sz val="11"/>
        <rFont val="Calibri"/>
        <family val="2"/>
        <charset val="238"/>
        <scheme val="minor"/>
      </rPr>
      <t>(Gymnázium , Olomouc-Hejčín)</t>
    </r>
  </si>
  <si>
    <r>
      <t xml:space="preserve">Podpora pedagogické práce </t>
    </r>
    <r>
      <rPr>
        <i/>
        <sz val="11"/>
        <rFont val="Calibri"/>
        <family val="2"/>
        <charset val="238"/>
        <scheme val="minor"/>
      </rPr>
      <t>(Gymnázium Jiřího Wolkera, Prostějov)</t>
    </r>
  </si>
  <si>
    <r>
      <t xml:space="preserve">Kvalitní a efektivní vzdělávání všem bez rozdílu </t>
    </r>
    <r>
      <rPr>
        <i/>
        <sz val="11"/>
        <rFont val="Calibri"/>
        <family val="2"/>
        <charset val="238"/>
        <scheme val="minor"/>
      </rPr>
      <t>(Střední škola, Základní škola Mateřská škola a Dětský domov Zábřeh)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</si>
</sst>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4">
    <xf numFmtId="0" fontId="0" fillId="0" borderId="0" xfId="0"/>
    <xf numFmtId="0" fontId="0" fillId="0" borderId="0" xfId="0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7" fillId="3" borderId="14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7" fillId="3" borderId="15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4" fontId="9" fillId="0" borderId="1" xfId="0" applyNumberFormat="1" applyFont="1" applyBorder="1"/>
    <xf numFmtId="0" fontId="4" fillId="0" borderId="28" xfId="0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60" xfId="0" applyNumberFormat="1" applyFont="1" applyBorder="1"/>
    <xf numFmtId="4" fontId="1" fillId="0" borderId="61" xfId="0" applyNumberFormat="1" applyFont="1" applyBorder="1"/>
    <xf numFmtId="4" fontId="1" fillId="0" borderId="62" xfId="0" applyNumberFormat="1" applyFont="1" applyBorder="1"/>
    <xf numFmtId="4" fontId="1" fillId="0" borderId="63" xfId="0" applyNumberFormat="1" applyFont="1" applyBorder="1"/>
    <xf numFmtId="4" fontId="1" fillId="0" borderId="64" xfId="0" applyNumberFormat="1" applyFont="1" applyBorder="1"/>
    <xf numFmtId="4" fontId="9" fillId="0" borderId="6" xfId="0" applyNumberFormat="1" applyFont="1" applyBorder="1"/>
    <xf numFmtId="0" fontId="4" fillId="0" borderId="55" xfId="0" applyFont="1" applyBorder="1"/>
    <xf numFmtId="4" fontId="1" fillId="0" borderId="55" xfId="0" applyNumberFormat="1" applyFont="1" applyBorder="1"/>
    <xf numFmtId="4" fontId="9" fillId="0" borderId="38" xfId="0" applyNumberFormat="1" applyFont="1" applyBorder="1"/>
    <xf numFmtId="4" fontId="9" fillId="0" borderId="22" xfId="0" applyNumberFormat="1" applyFont="1" applyBorder="1"/>
    <xf numFmtId="4" fontId="9" fillId="0" borderId="36" xfId="0" applyNumberFormat="1" applyFont="1" applyBorder="1"/>
    <xf numFmtId="4" fontId="9" fillId="0" borderId="5" xfId="0" applyNumberFormat="1" applyFont="1" applyBorder="1"/>
    <xf numFmtId="4" fontId="9" fillId="0" borderId="3" xfId="0" applyNumberFormat="1" applyFont="1" applyBorder="1"/>
    <xf numFmtId="4" fontId="9" fillId="0" borderId="2" xfId="0" applyNumberFormat="1" applyFont="1" applyBorder="1"/>
    <xf numFmtId="4" fontId="9" fillId="0" borderId="20" xfId="0" applyNumberFormat="1" applyFont="1" applyBorder="1"/>
    <xf numFmtId="4" fontId="9" fillId="0" borderId="9" xfId="0" applyNumberFormat="1" applyFont="1" applyBorder="1"/>
    <xf numFmtId="4" fontId="9" fillId="0" borderId="34" xfId="0" applyNumberFormat="1" applyFont="1" applyBorder="1"/>
    <xf numFmtId="4" fontId="9" fillId="0" borderId="14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7" fillId="3" borderId="19" xfId="0" applyFont="1" applyFill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4" fontId="9" fillId="0" borderId="54" xfId="0" applyNumberFormat="1" applyFont="1" applyBorder="1" applyAlignment="1">
      <alignment vertical="center"/>
    </xf>
    <xf numFmtId="4" fontId="9" fillId="0" borderId="55" xfId="0" applyNumberFormat="1" applyFont="1" applyBorder="1" applyAlignment="1">
      <alignment vertical="center"/>
    </xf>
    <xf numFmtId="4" fontId="9" fillId="0" borderId="23" xfId="0" applyNumberFormat="1" applyFont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0" fontId="8" fillId="0" borderId="54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4" fontId="9" fillId="0" borderId="30" xfId="0" applyNumberFormat="1" applyFont="1" applyBorder="1"/>
    <xf numFmtId="4" fontId="9" fillId="0" borderId="11" xfId="0" applyNumberFormat="1" applyFont="1" applyBorder="1"/>
    <xf numFmtId="4" fontId="9" fillId="0" borderId="17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4" fontId="7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/>
    </xf>
    <xf numFmtId="4" fontId="7" fillId="3" borderId="17" xfId="0" applyNumberFormat="1" applyFont="1" applyFill="1" applyBorder="1" applyAlignment="1">
      <alignment horizontal="right" vertical="center" wrapText="1"/>
    </xf>
    <xf numFmtId="4" fontId="7" fillId="0" borderId="40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vertical="center"/>
    </xf>
    <xf numFmtId="4" fontId="9" fillId="0" borderId="4" xfId="0" applyNumberFormat="1" applyFont="1" applyBorder="1"/>
    <xf numFmtId="4" fontId="9" fillId="0" borderId="15" xfId="0" applyNumberFormat="1" applyFont="1" applyBorder="1" applyAlignment="1">
      <alignment vertical="center"/>
    </xf>
    <xf numFmtId="4" fontId="9" fillId="0" borderId="7" xfId="0" applyNumberFormat="1" applyFont="1" applyBorder="1"/>
    <xf numFmtId="4" fontId="9" fillId="0" borderId="17" xfId="0" applyNumberFormat="1" applyFont="1" applyBorder="1"/>
    <xf numFmtId="4" fontId="9" fillId="0" borderId="16" xfId="0" applyNumberFormat="1" applyFont="1" applyBorder="1"/>
    <xf numFmtId="4" fontId="9" fillId="0" borderId="14" xfId="0" applyNumberFormat="1" applyFont="1" applyBorder="1"/>
    <xf numFmtId="4" fontId="9" fillId="0" borderId="15" xfId="0" applyNumberFormat="1" applyFont="1" applyBorder="1"/>
    <xf numFmtId="4" fontId="9" fillId="0" borderId="8" xfId="0" applyNumberFormat="1" applyFont="1" applyBorder="1"/>
    <xf numFmtId="4" fontId="9" fillId="0" borderId="10" xfId="0" applyNumberFormat="1" applyFont="1" applyBorder="1"/>
    <xf numFmtId="4" fontId="9" fillId="0" borderId="31" xfId="0" applyNumberFormat="1" applyFont="1" applyBorder="1"/>
    <xf numFmtId="4" fontId="9" fillId="0" borderId="37" xfId="0" applyNumberFormat="1" applyFont="1" applyBorder="1"/>
    <xf numFmtId="4" fontId="9" fillId="0" borderId="73" xfId="0" applyNumberFormat="1" applyFont="1" applyBorder="1"/>
    <xf numFmtId="4" fontId="0" fillId="0" borderId="0" xfId="0" applyNumberFormat="1"/>
    <xf numFmtId="4" fontId="1" fillId="0" borderId="54" xfId="0" applyNumberFormat="1" applyFont="1" applyBorder="1"/>
    <xf numFmtId="4" fontId="0" fillId="3" borderId="0" xfId="0" applyNumberFormat="1" applyFill="1"/>
    <xf numFmtId="0" fontId="7" fillId="3" borderId="15" xfId="0" applyFont="1" applyFill="1" applyBorder="1" applyAlignment="1">
      <alignment horizontal="center" vertical="center" wrapText="1"/>
    </xf>
    <xf numFmtId="4" fontId="1" fillId="0" borderId="52" xfId="0" applyNumberFormat="1" applyFont="1" applyBorder="1"/>
    <xf numFmtId="4" fontId="9" fillId="0" borderId="13" xfId="0" applyNumberFormat="1" applyFont="1" applyBorder="1"/>
    <xf numFmtId="4" fontId="9" fillId="0" borderId="19" xfId="0" applyNumberFormat="1" applyFont="1" applyBorder="1" applyAlignment="1">
      <alignment vertical="center"/>
    </xf>
    <xf numFmtId="4" fontId="9" fillId="0" borderId="19" xfId="0" applyNumberFormat="1" applyFont="1" applyBorder="1"/>
    <xf numFmtId="4" fontId="9" fillId="0" borderId="18" xfId="0" applyNumberFormat="1" applyFont="1" applyBorder="1"/>
    <xf numFmtId="4" fontId="9" fillId="0" borderId="48" xfId="0" applyNumberFormat="1" applyFont="1" applyBorder="1"/>
    <xf numFmtId="4" fontId="9" fillId="0" borderId="22" xfId="0" applyNumberFormat="1" applyFont="1" applyBorder="1" applyAlignment="1">
      <alignment vertical="center"/>
    </xf>
    <xf numFmtId="4" fontId="9" fillId="0" borderId="65" xfId="0" applyNumberFormat="1" applyFont="1" applyBorder="1"/>
    <xf numFmtId="0" fontId="8" fillId="0" borderId="30" xfId="0" applyFont="1" applyBorder="1"/>
    <xf numFmtId="0" fontId="8" fillId="0" borderId="31" xfId="0" applyFont="1" applyBorder="1" applyAlignment="1">
      <alignment vertical="center" wrapText="1"/>
    </xf>
    <xf numFmtId="0" fontId="8" fillId="0" borderId="31" xfId="0" applyFont="1" applyBorder="1"/>
    <xf numFmtId="0" fontId="8" fillId="0" borderId="74" xfId="0" applyFont="1" applyBorder="1"/>
    <xf numFmtId="0" fontId="8" fillId="0" borderId="34" xfId="0" applyFont="1" applyBorder="1"/>
    <xf numFmtId="4" fontId="9" fillId="0" borderId="21" xfId="0" applyNumberFormat="1" applyFont="1" applyBorder="1"/>
    <xf numFmtId="4" fontId="1" fillId="0" borderId="0" xfId="0" applyNumberFormat="1" applyFont="1" applyBorder="1"/>
    <xf numFmtId="4" fontId="1" fillId="0" borderId="57" xfId="0" applyNumberFormat="1" applyFont="1" applyBorder="1"/>
    <xf numFmtId="0" fontId="7" fillId="3" borderId="26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10" fillId="2" borderId="6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center" wrapText="1"/>
    </xf>
    <xf numFmtId="4" fontId="7" fillId="3" borderId="26" xfId="0" applyNumberFormat="1" applyFont="1" applyFill="1" applyBorder="1" applyAlignment="1">
      <alignment horizontal="right" vertical="center" wrapText="1"/>
    </xf>
    <xf numFmtId="4" fontId="7" fillId="3" borderId="35" xfId="0" applyNumberFormat="1" applyFont="1" applyFill="1" applyBorder="1" applyAlignment="1">
      <alignment horizontal="right" vertical="center" wrapText="1"/>
    </xf>
    <xf numFmtId="4" fontId="7" fillId="3" borderId="50" xfId="0" applyNumberFormat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right" vertical="center" wrapText="1"/>
    </xf>
    <xf numFmtId="4" fontId="7" fillId="3" borderId="9" xfId="0" applyNumberFormat="1" applyFont="1" applyFill="1" applyBorder="1" applyAlignment="1">
      <alignment horizontal="right" vertical="center" wrapText="1"/>
    </xf>
    <xf numFmtId="4" fontId="7" fillId="3" borderId="10" xfId="0" applyNumberFormat="1" applyFont="1" applyFill="1" applyBorder="1" applyAlignment="1">
      <alignment horizontal="right" vertical="center" wrapText="1"/>
    </xf>
    <xf numFmtId="4" fontId="7" fillId="3" borderId="5" xfId="0" applyNumberFormat="1" applyFont="1" applyFill="1" applyBorder="1" applyAlignment="1">
      <alignment horizontal="right" vertical="center" wrapText="1"/>
    </xf>
    <xf numFmtId="4" fontId="7" fillId="3" borderId="6" xfId="0" applyNumberFormat="1" applyFont="1" applyFill="1" applyBorder="1" applyAlignment="1">
      <alignment horizontal="right" vertical="center" wrapText="1"/>
    </xf>
    <xf numFmtId="4" fontId="7" fillId="3" borderId="7" xfId="0" applyNumberFormat="1" applyFont="1" applyFill="1" applyBorder="1" applyAlignment="1">
      <alignment horizontal="right" vertical="center" wrapText="1"/>
    </xf>
    <xf numFmtId="4" fontId="15" fillId="3" borderId="46" xfId="0" applyNumberFormat="1" applyFont="1" applyFill="1" applyBorder="1" applyAlignment="1">
      <alignment horizontal="right" vertical="center"/>
    </xf>
    <xf numFmtId="4" fontId="7" fillId="3" borderId="16" xfId="0" applyNumberFormat="1" applyFont="1" applyFill="1" applyBorder="1" applyAlignment="1">
      <alignment horizontal="right" vertical="center" wrapText="1"/>
    </xf>
    <xf numFmtId="4" fontId="15" fillId="3" borderId="23" xfId="0" applyNumberFormat="1" applyFont="1" applyFill="1" applyBorder="1" applyAlignment="1">
      <alignment horizontal="right" vertical="center"/>
    </xf>
    <xf numFmtId="4" fontId="15" fillId="3" borderId="54" xfId="0" applyNumberFormat="1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left" vertical="center" wrapText="1"/>
    </xf>
    <xf numFmtId="0" fontId="14" fillId="3" borderId="32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 wrapText="1"/>
    </xf>
    <xf numFmtId="4" fontId="7" fillId="3" borderId="49" xfId="0" applyNumberFormat="1" applyFont="1" applyFill="1" applyBorder="1" applyAlignment="1">
      <alignment horizontal="right" vertical="center" wrapText="1"/>
    </xf>
    <xf numFmtId="4" fontId="15" fillId="3" borderId="39" xfId="0" applyNumberFormat="1" applyFont="1" applyFill="1" applyBorder="1" applyAlignment="1">
      <alignment horizontal="right" vertical="center"/>
    </xf>
    <xf numFmtId="0" fontId="14" fillId="3" borderId="54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" fontId="15" fillId="0" borderId="39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6" xfId="0" applyNumberFormat="1" applyFont="1" applyBorder="1" applyAlignment="1">
      <alignment horizontal="right" vertical="center" wrapText="1"/>
    </xf>
    <xf numFmtId="4" fontId="7" fillId="0" borderId="9" xfId="0" applyNumberFormat="1" applyFont="1" applyFill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15" fillId="0" borderId="23" xfId="0" applyNumberFormat="1" applyFont="1" applyBorder="1" applyAlignment="1">
      <alignment horizontal="right" vertical="center"/>
    </xf>
    <xf numFmtId="4" fontId="15" fillId="0" borderId="23" xfId="0" applyNumberFormat="1" applyFont="1" applyFill="1" applyBorder="1" applyAlignment="1">
      <alignment horizontal="right" vertical="center"/>
    </xf>
    <xf numFmtId="4" fontId="15" fillId="0" borderId="54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horizontal="right" vertical="center"/>
    </xf>
    <xf numFmtId="4" fontId="16" fillId="0" borderId="23" xfId="0" applyNumberFormat="1" applyFont="1" applyFill="1" applyBorder="1" applyAlignment="1">
      <alignment horizontal="right" vertical="center"/>
    </xf>
    <xf numFmtId="4" fontId="16" fillId="0" borderId="54" xfId="0" applyNumberFormat="1" applyFont="1" applyBorder="1" applyAlignment="1">
      <alignment horizontal="right" vertical="center"/>
    </xf>
    <xf numFmtId="4" fontId="7" fillId="3" borderId="72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4" fontId="7" fillId="3" borderId="38" xfId="0" applyNumberFormat="1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vertical="center" wrapText="1"/>
    </xf>
    <xf numFmtId="0" fontId="7" fillId="3" borderId="48" xfId="0" applyFont="1" applyFill="1" applyBorder="1" applyAlignment="1">
      <alignment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4" fontId="9" fillId="0" borderId="31" xfId="0" applyNumberFormat="1" applyFont="1" applyBorder="1" applyAlignment="1">
      <alignment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wrapText="1"/>
    </xf>
    <xf numFmtId="4" fontId="7" fillId="0" borderId="7" xfId="0" applyNumberFormat="1" applyFont="1" applyFill="1" applyBorder="1" applyAlignment="1">
      <alignment horizontal="righ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vertical="top" wrapText="1"/>
    </xf>
    <xf numFmtId="0" fontId="11" fillId="0" borderId="48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" fontId="7" fillId="0" borderId="38" xfId="0" applyNumberFormat="1" applyFont="1" applyFill="1" applyBorder="1" applyAlignment="1">
      <alignment horizontal="right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/>
    <xf numFmtId="0" fontId="7" fillId="3" borderId="56" xfId="0" applyFont="1" applyFill="1" applyBorder="1" applyAlignment="1">
      <alignment horizontal="center"/>
    </xf>
    <xf numFmtId="0" fontId="7" fillId="3" borderId="56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right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4" fontId="7" fillId="3" borderId="11" xfId="0" applyNumberFormat="1" applyFont="1" applyFill="1" applyBorder="1" applyAlignment="1">
      <alignment horizontal="right"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4" fontId="7" fillId="3" borderId="13" xfId="0" applyNumberFormat="1" applyFont="1" applyFill="1" applyBorder="1" applyAlignment="1">
      <alignment horizontal="right" vertical="center" wrapText="1"/>
    </xf>
    <xf numFmtId="0" fontId="7" fillId="3" borderId="27" xfId="0" applyFont="1" applyFill="1" applyBorder="1" applyAlignment="1">
      <alignment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71" xfId="0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4" fontId="7" fillId="3" borderId="46" xfId="0" applyNumberFormat="1" applyFont="1" applyFill="1" applyBorder="1" applyAlignment="1">
      <alignment horizontal="right" vertical="center" wrapText="1"/>
    </xf>
    <xf numFmtId="4" fontId="7" fillId="3" borderId="43" xfId="0" applyNumberFormat="1" applyFont="1" applyFill="1" applyBorder="1" applyAlignment="1">
      <alignment horizontal="right" vertical="center" wrapText="1"/>
    </xf>
    <xf numFmtId="4" fontId="7" fillId="3" borderId="44" xfId="0" applyNumberFormat="1" applyFont="1" applyFill="1" applyBorder="1" applyAlignment="1">
      <alignment horizontal="right" vertical="center" wrapText="1"/>
    </xf>
    <xf numFmtId="4" fontId="7" fillId="3" borderId="45" xfId="0" applyNumberFormat="1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vertical="center"/>
    </xf>
    <xf numFmtId="4" fontId="7" fillId="3" borderId="19" xfId="0" applyNumberFormat="1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wrapText="1"/>
    </xf>
    <xf numFmtId="4" fontId="7" fillId="3" borderId="27" xfId="0" applyNumberFormat="1" applyFont="1" applyFill="1" applyBorder="1" applyAlignment="1">
      <alignment horizontal="righ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3" borderId="48" xfId="0" applyNumberFormat="1" applyFont="1" applyFill="1" applyBorder="1" applyAlignment="1">
      <alignment horizontal="right" vertical="center" wrapText="1"/>
    </xf>
    <xf numFmtId="4" fontId="7" fillId="3" borderId="18" xfId="0" applyNumberFormat="1" applyFont="1" applyFill="1" applyBorder="1" applyAlignment="1">
      <alignment horizontal="right" vertical="center" wrapText="1"/>
    </xf>
    <xf numFmtId="4" fontId="7" fillId="3" borderId="19" xfId="0" applyNumberFormat="1" applyFont="1" applyFill="1" applyBorder="1" applyAlignment="1">
      <alignment vertical="center"/>
    </xf>
    <xf numFmtId="4" fontId="7" fillId="3" borderId="47" xfId="0" applyNumberFormat="1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wrapText="1"/>
    </xf>
    <xf numFmtId="0" fontId="7" fillId="3" borderId="4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wrapText="1"/>
    </xf>
    <xf numFmtId="0" fontId="7" fillId="3" borderId="49" xfId="0" applyFont="1" applyFill="1" applyBorder="1" applyAlignment="1">
      <alignment horizontal="left" vertical="center" wrapText="1"/>
    </xf>
    <xf numFmtId="4" fontId="7" fillId="3" borderId="73" xfId="0" applyNumberFormat="1" applyFont="1" applyFill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4" fontId="9" fillId="0" borderId="12" xfId="0" applyNumberFormat="1" applyFont="1" applyBorder="1"/>
    <xf numFmtId="4" fontId="9" fillId="0" borderId="34" xfId="0" applyNumberFormat="1" applyFont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4" fillId="0" borderId="39" xfId="0" applyNumberFormat="1" applyFont="1" applyBorder="1" applyAlignment="1">
      <alignment vertical="center"/>
    </xf>
    <xf numFmtId="0" fontId="8" fillId="0" borderId="28" xfId="0" applyFont="1" applyBorder="1"/>
    <xf numFmtId="0" fontId="8" fillId="0" borderId="16" xfId="0" applyFont="1" applyBorder="1" applyAlignment="1">
      <alignment vertical="center" wrapText="1"/>
    </xf>
    <xf numFmtId="4" fontId="9" fillId="0" borderId="72" xfId="0" applyNumberFormat="1" applyFont="1" applyBorder="1"/>
    <xf numFmtId="4" fontId="9" fillId="0" borderId="72" xfId="0" applyNumberFormat="1" applyFont="1" applyBorder="1" applyAlignment="1">
      <alignment vertical="center"/>
    </xf>
    <xf numFmtId="4" fontId="9" fillId="0" borderId="77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4" fontId="9" fillId="0" borderId="38" xfId="0" applyNumberFormat="1" applyFont="1" applyBorder="1" applyAlignment="1">
      <alignment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 vertical="center" wrapText="1"/>
    </xf>
    <xf numFmtId="4" fontId="7" fillId="0" borderId="15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wrapText="1"/>
    </xf>
    <xf numFmtId="0" fontId="14" fillId="3" borderId="55" xfId="0" applyFont="1" applyFill="1" applyBorder="1" applyAlignment="1">
      <alignment horizontal="left" vertical="center" wrapText="1"/>
    </xf>
    <xf numFmtId="0" fontId="14" fillId="3" borderId="56" xfId="0" applyFont="1" applyFill="1" applyBorder="1" applyAlignment="1">
      <alignment horizontal="left" vertical="center" wrapText="1"/>
    </xf>
    <xf numFmtId="0" fontId="14" fillId="3" borderId="57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4" fontId="7" fillId="3" borderId="0" xfId="0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15" fillId="3" borderId="0" xfId="0" applyFont="1" applyFill="1"/>
    <xf numFmtId="0" fontId="7" fillId="3" borderId="56" xfId="0" applyFont="1" applyFill="1" applyBorder="1" applyAlignment="1">
      <alignment wrapText="1"/>
    </xf>
    <xf numFmtId="0" fontId="15" fillId="3" borderId="0" xfId="0" applyFont="1" applyFill="1" applyBorder="1"/>
    <xf numFmtId="0" fontId="7" fillId="3" borderId="0" xfId="0" applyFont="1" applyFill="1"/>
    <xf numFmtId="0" fontId="15" fillId="0" borderId="0" xfId="0" applyFont="1" applyFill="1"/>
    <xf numFmtId="0" fontId="15" fillId="0" borderId="0" xfId="0" applyFont="1"/>
    <xf numFmtId="0" fontId="7" fillId="0" borderId="0" xfId="0" applyFont="1" applyBorder="1"/>
    <xf numFmtId="0" fontId="16" fillId="0" borderId="0" xfId="0" applyFont="1"/>
    <xf numFmtId="0" fontId="7" fillId="0" borderId="0" xfId="0" applyFont="1" applyAlignment="1">
      <alignment horizontal="center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70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left" vertical="center" wrapText="1"/>
    </xf>
    <xf numFmtId="4" fontId="7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4" fontId="15" fillId="3" borderId="39" xfId="0" applyNumberFormat="1" applyFont="1" applyFill="1" applyBorder="1" applyAlignment="1">
      <alignment horizontal="right"/>
    </xf>
    <xf numFmtId="4" fontId="15" fillId="3" borderId="59" xfId="0" applyNumberFormat="1" applyFont="1" applyFill="1" applyBorder="1" applyAlignment="1">
      <alignment horizontal="right"/>
    </xf>
    <xf numFmtId="0" fontId="7" fillId="3" borderId="42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70" xfId="0" applyFont="1" applyFill="1" applyBorder="1" applyAlignment="1">
      <alignment horizontal="center" vertical="center" wrapText="1"/>
    </xf>
    <xf numFmtId="4" fontId="7" fillId="3" borderId="76" xfId="0" applyNumberFormat="1" applyFont="1" applyFill="1" applyBorder="1" applyAlignment="1">
      <alignment horizontal="right" vertical="center" wrapText="1"/>
    </xf>
    <xf numFmtId="4" fontId="7" fillId="3" borderId="40" xfId="0" applyNumberFormat="1" applyFont="1" applyFill="1" applyBorder="1" applyAlignment="1">
      <alignment horizontal="right" vertical="center" wrapText="1"/>
    </xf>
    <xf numFmtId="4" fontId="7" fillId="3" borderId="41" xfId="0" applyNumberFormat="1" applyFont="1" applyFill="1" applyBorder="1" applyAlignment="1">
      <alignment horizontal="right" vertical="center" wrapText="1"/>
    </xf>
    <xf numFmtId="4" fontId="7" fillId="3" borderId="39" xfId="0" applyNumberFormat="1" applyFont="1" applyFill="1" applyBorder="1" applyAlignment="1">
      <alignment horizontal="right" vertical="center" wrapText="1"/>
    </xf>
    <xf numFmtId="4" fontId="7" fillId="3" borderId="70" xfId="0" applyNumberFormat="1" applyFont="1" applyFill="1" applyBorder="1" applyAlignment="1">
      <alignment horizontal="right" vertical="center" wrapText="1"/>
    </xf>
    <xf numFmtId="4" fontId="15" fillId="3" borderId="51" xfId="0" applyNumberFormat="1" applyFont="1" applyFill="1" applyBorder="1" applyAlignment="1">
      <alignment horizontal="right"/>
    </xf>
    <xf numFmtId="0" fontId="14" fillId="3" borderId="69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vertical="center" wrapText="1"/>
    </xf>
    <xf numFmtId="4" fontId="7" fillId="3" borderId="0" xfId="0" applyNumberFormat="1" applyFont="1" applyFill="1"/>
    <xf numFmtId="0" fontId="14" fillId="3" borderId="75" xfId="0" applyFont="1" applyFill="1" applyBorder="1" applyAlignment="1">
      <alignment horizontal="left" vertical="center" wrapText="1"/>
    </xf>
    <xf numFmtId="4" fontId="15" fillId="0" borderId="23" xfId="0" applyNumberFormat="1" applyFont="1" applyBorder="1" applyAlignment="1">
      <alignment horizontal="right"/>
    </xf>
    <xf numFmtId="0" fontId="14" fillId="3" borderId="66" xfId="0" applyFont="1" applyFill="1" applyBorder="1" applyAlignment="1">
      <alignment horizontal="left" vertical="center" wrapText="1"/>
    </xf>
    <xf numFmtId="4" fontId="15" fillId="0" borderId="46" xfId="0" applyNumberFormat="1" applyFont="1" applyBorder="1" applyAlignment="1">
      <alignment horizontal="right"/>
    </xf>
    <xf numFmtId="4" fontId="15" fillId="0" borderId="32" xfId="0" applyNumberFormat="1" applyFont="1" applyBorder="1" applyAlignment="1">
      <alignment horizontal="right"/>
    </xf>
    <xf numFmtId="4" fontId="15" fillId="0" borderId="43" xfId="0" applyNumberFormat="1" applyFont="1" applyBorder="1" applyAlignment="1">
      <alignment horizontal="right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right"/>
    </xf>
    <xf numFmtId="4" fontId="15" fillId="0" borderId="54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4" fontId="15" fillId="0" borderId="23" xfId="0" applyNumberFormat="1" applyFont="1" applyBorder="1"/>
    <xf numFmtId="0" fontId="7" fillId="0" borderId="30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7" fillId="3" borderId="37" xfId="0" applyNumberFormat="1" applyFont="1" applyFill="1" applyBorder="1" applyAlignment="1">
      <alignment horizontal="right" vertical="center" wrapText="1"/>
    </xf>
    <xf numFmtId="4" fontId="7" fillId="0" borderId="19" xfId="0" applyNumberFormat="1" applyFont="1" applyFill="1" applyBorder="1" applyAlignment="1">
      <alignment horizontal="right" vertical="center" wrapText="1"/>
    </xf>
    <xf numFmtId="4" fontId="7" fillId="0" borderId="73" xfId="0" applyNumberFormat="1" applyFont="1" applyFill="1" applyBorder="1" applyAlignment="1">
      <alignment horizontal="right" vertical="center" wrapText="1"/>
    </xf>
    <xf numFmtId="4" fontId="7" fillId="0" borderId="72" xfId="0" applyNumberFormat="1" applyFont="1" applyFill="1" applyBorder="1" applyAlignment="1">
      <alignment horizontal="righ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4" fontId="7" fillId="0" borderId="48" xfId="0" applyNumberFormat="1" applyFont="1" applyFill="1" applyBorder="1" applyAlignment="1">
      <alignment horizontal="right" vertical="center" wrapText="1"/>
    </xf>
    <xf numFmtId="4" fontId="7" fillId="0" borderId="68" xfId="0" applyNumberFormat="1" applyFont="1" applyFill="1" applyBorder="1" applyAlignment="1">
      <alignment horizontal="right" vertical="center" wrapText="1"/>
    </xf>
    <xf numFmtId="4" fontId="7" fillId="0" borderId="76" xfId="0" applyNumberFormat="1" applyFont="1" applyFill="1" applyBorder="1" applyAlignment="1">
      <alignment horizontal="right" vertical="center" wrapText="1"/>
    </xf>
    <xf numFmtId="4" fontId="7" fillId="0" borderId="40" xfId="0" applyNumberFormat="1" applyFont="1" applyFill="1" applyBorder="1" applyAlignment="1">
      <alignment horizontal="right" vertical="center" wrapText="1"/>
    </xf>
    <xf numFmtId="4" fontId="15" fillId="0" borderId="39" xfId="0" applyNumberFormat="1" applyFont="1" applyBorder="1"/>
    <xf numFmtId="4" fontId="15" fillId="0" borderId="39" xfId="0" applyNumberFormat="1" applyFont="1" applyFill="1" applyBorder="1"/>
    <xf numFmtId="4" fontId="15" fillId="0" borderId="23" xfId="0" applyNumberFormat="1" applyFont="1" applyFill="1" applyBorder="1"/>
    <xf numFmtId="4" fontId="15" fillId="0" borderId="54" xfId="0" applyNumberFormat="1" applyFont="1" applyBorder="1"/>
    <xf numFmtId="4" fontId="15" fillId="0" borderId="51" xfId="0" applyNumberFormat="1" applyFont="1" applyBorder="1"/>
    <xf numFmtId="4" fontId="7" fillId="3" borderId="23" xfId="0" applyNumberFormat="1" applyFont="1" applyFill="1" applyBorder="1" applyAlignment="1">
      <alignment horizontal="right" vertical="center" wrapText="1"/>
    </xf>
    <xf numFmtId="4" fontId="7" fillId="0" borderId="24" xfId="0" applyNumberFormat="1" applyFont="1" applyFill="1" applyBorder="1" applyAlignment="1">
      <alignment horizontal="right" vertical="center" wrapText="1"/>
    </xf>
    <xf numFmtId="4" fontId="7" fillId="3" borderId="24" xfId="0" applyNumberFormat="1" applyFont="1" applyFill="1" applyBorder="1" applyAlignment="1">
      <alignment horizontal="right" vertical="center" wrapText="1"/>
    </xf>
    <xf numFmtId="4" fontId="7" fillId="3" borderId="58" xfId="0" applyNumberFormat="1" applyFont="1" applyFill="1" applyBorder="1" applyAlignment="1">
      <alignment horizontal="right" vertical="center" wrapText="1"/>
    </xf>
    <xf numFmtId="4" fontId="7" fillId="3" borderId="25" xfId="0" applyNumberFormat="1" applyFont="1" applyFill="1" applyBorder="1" applyAlignment="1">
      <alignment horizontal="right" vertical="center" wrapText="1"/>
    </xf>
    <xf numFmtId="4" fontId="7" fillId="3" borderId="56" xfId="0" applyNumberFormat="1" applyFont="1" applyFill="1" applyBorder="1" applyAlignment="1">
      <alignment horizontal="righ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center" wrapText="1"/>
    </xf>
    <xf numFmtId="0" fontId="7" fillId="0" borderId="19" xfId="0" applyFont="1" applyFill="1" applyBorder="1" applyAlignment="1">
      <alignment wrapText="1"/>
    </xf>
    <xf numFmtId="4" fontId="7" fillId="0" borderId="14" xfId="0" applyNumberFormat="1" applyFont="1" applyFill="1" applyBorder="1" applyAlignment="1">
      <alignment vertical="center"/>
    </xf>
    <xf numFmtId="4" fontId="7" fillId="0" borderId="73" xfId="0" applyNumberFormat="1" applyFont="1" applyBorder="1" applyAlignment="1">
      <alignment horizontal="right" vertical="center" wrapText="1"/>
    </xf>
    <xf numFmtId="0" fontId="7" fillId="0" borderId="19" xfId="0" applyFont="1" applyFill="1" applyBorder="1" applyAlignment="1">
      <alignment horizontal="left" vertical="center" wrapText="1"/>
    </xf>
    <xf numFmtId="4" fontId="7" fillId="0" borderId="49" xfId="0" applyNumberFormat="1" applyFont="1" applyFill="1" applyBorder="1" applyAlignment="1">
      <alignment horizontal="right" vertical="center" wrapText="1"/>
    </xf>
    <xf numFmtId="4" fontId="7" fillId="0" borderId="26" xfId="0" applyNumberFormat="1" applyFont="1" applyFill="1" applyBorder="1" applyAlignment="1">
      <alignment horizontal="right" vertical="center" wrapText="1"/>
    </xf>
    <xf numFmtId="4" fontId="7" fillId="0" borderId="35" xfId="0" applyNumberFormat="1" applyFont="1" applyFill="1" applyBorder="1" applyAlignment="1" applyProtection="1">
      <alignment horizontal="right" vertical="center" wrapText="1"/>
    </xf>
    <xf numFmtId="4" fontId="7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68" xfId="0" applyNumberFormat="1" applyFont="1" applyBorder="1" applyAlignment="1">
      <alignment horizontal="right" vertical="center" wrapText="1"/>
    </xf>
    <xf numFmtId="0" fontId="7" fillId="0" borderId="51" xfId="0" applyFont="1" applyFill="1" applyBorder="1" applyAlignment="1">
      <alignment horizontal="center" vertical="center" wrapText="1"/>
    </xf>
    <xf numFmtId="4" fontId="7" fillId="0" borderId="46" xfId="0" applyNumberFormat="1" applyFont="1" applyBorder="1" applyAlignment="1">
      <alignment horizontal="right" vertical="center" wrapText="1"/>
    </xf>
    <xf numFmtId="4" fontId="7" fillId="0" borderId="43" xfId="0" applyNumberFormat="1" applyFont="1" applyBorder="1" applyAlignment="1">
      <alignment horizontal="right" vertical="center" wrapText="1"/>
    </xf>
    <xf numFmtId="4" fontId="7" fillId="0" borderId="45" xfId="0" applyNumberFormat="1" applyFont="1" applyBorder="1" applyAlignment="1">
      <alignment horizontal="right" vertical="center" wrapText="1"/>
    </xf>
    <xf numFmtId="4" fontId="7" fillId="0" borderId="41" xfId="0" applyNumberFormat="1" applyFont="1" applyBorder="1" applyAlignment="1">
      <alignment horizontal="right" vertical="center" wrapText="1"/>
    </xf>
    <xf numFmtId="4" fontId="7" fillId="0" borderId="70" xfId="0" applyNumberFormat="1" applyFont="1" applyBorder="1" applyAlignment="1">
      <alignment horizontal="right" vertical="center" wrapText="1"/>
    </xf>
    <xf numFmtId="4" fontId="15" fillId="0" borderId="24" xfId="0" applyNumberFormat="1" applyFont="1" applyBorder="1"/>
    <xf numFmtId="4" fontId="15" fillId="0" borderId="58" xfId="0" applyNumberFormat="1" applyFont="1" applyBorder="1"/>
    <xf numFmtId="4" fontId="15" fillId="0" borderId="40" xfId="0" applyNumberFormat="1" applyFont="1" applyFill="1" applyBorder="1"/>
    <xf numFmtId="4" fontId="15" fillId="0" borderId="40" xfId="0" applyNumberFormat="1" applyFont="1" applyBorder="1"/>
    <xf numFmtId="4" fontId="15" fillId="0" borderId="41" xfId="0" applyNumberFormat="1" applyFont="1" applyBorder="1"/>
    <xf numFmtId="4" fontId="15" fillId="0" borderId="70" xfId="0" applyNumberFormat="1" applyFont="1" applyBorder="1"/>
    <xf numFmtId="4" fontId="15" fillId="0" borderId="25" xfId="0" applyNumberFormat="1" applyFont="1" applyBorder="1"/>
    <xf numFmtId="0" fontId="15" fillId="0" borderId="0" xfId="0" applyFont="1" applyBorder="1"/>
    <xf numFmtId="4" fontId="15" fillId="0" borderId="0" xfId="0" applyNumberFormat="1" applyFont="1" applyBorder="1"/>
    <xf numFmtId="4" fontId="15" fillId="0" borderId="0" xfId="0" applyNumberFormat="1" applyFont="1" applyFill="1" applyBorder="1"/>
    <xf numFmtId="4" fontId="7" fillId="0" borderId="0" xfId="0" applyNumberFormat="1" applyFont="1"/>
    <xf numFmtId="4" fontId="16" fillId="0" borderId="23" xfId="0" applyNumberFormat="1" applyFont="1" applyBorder="1" applyAlignment="1">
      <alignment vertical="center"/>
    </xf>
    <xf numFmtId="164" fontId="16" fillId="0" borderId="23" xfId="0" applyNumberFormat="1" applyFont="1" applyBorder="1" applyAlignment="1">
      <alignment vertical="center"/>
    </xf>
    <xf numFmtId="4" fontId="16" fillId="0" borderId="54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4" fontId="7" fillId="0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3" fillId="2" borderId="3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wrapText="1"/>
    </xf>
    <xf numFmtId="0" fontId="3" fillId="2" borderId="5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17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/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14" fillId="3" borderId="55" xfId="0" applyFont="1" applyFill="1" applyBorder="1" applyAlignment="1">
      <alignment horizontal="left" vertical="center" wrapText="1"/>
    </xf>
    <xf numFmtId="0" fontId="14" fillId="3" borderId="56" xfId="0" applyFont="1" applyFill="1" applyBorder="1" applyAlignment="1">
      <alignment horizontal="left" vertical="center" wrapText="1"/>
    </xf>
    <xf numFmtId="0" fontId="14" fillId="3" borderId="57" xfId="0" applyFont="1" applyFill="1" applyBorder="1" applyAlignment="1">
      <alignment horizontal="left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/>
    </xf>
    <xf numFmtId="0" fontId="14" fillId="3" borderId="56" xfId="0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4" fillId="3" borderId="28" xfId="0" applyFont="1" applyFill="1" applyBorder="1" applyAlignment="1">
      <alignment horizontal="left" vertical="center" wrapText="1"/>
    </xf>
    <xf numFmtId="0" fontId="15" fillId="3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5" fillId="3" borderId="70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left" vertical="center" wrapText="1"/>
    </xf>
    <xf numFmtId="0" fontId="14" fillId="3" borderId="66" xfId="0" applyFont="1" applyFill="1" applyBorder="1" applyAlignment="1">
      <alignment horizontal="left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4" fillId="3" borderId="59" xfId="0" applyFont="1" applyFill="1" applyBorder="1" applyAlignment="1">
      <alignment horizontal="left" vertical="center" wrapText="1"/>
    </xf>
    <xf numFmtId="0" fontId="14" fillId="3" borderId="67" xfId="0" applyFont="1" applyFill="1" applyBorder="1" applyAlignment="1">
      <alignment horizontal="left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view="pageBreakPreview" zoomScale="60" zoomScaleNormal="75" workbookViewId="0">
      <selection activeCell="F26" sqref="F26"/>
    </sheetView>
  </sheetViews>
  <sheetFormatPr defaultRowHeight="15" x14ac:dyDescent="0.25"/>
  <cols>
    <col min="1" max="1" width="27.7109375" customWidth="1"/>
    <col min="2" max="2" width="23.85546875" customWidth="1"/>
    <col min="3" max="3" width="22.140625" customWidth="1"/>
    <col min="4" max="4" width="20.85546875" customWidth="1"/>
    <col min="5" max="5" width="19.85546875" customWidth="1"/>
    <col min="6" max="8" width="20.85546875" customWidth="1"/>
    <col min="9" max="9" width="17.85546875" customWidth="1"/>
    <col min="10" max="10" width="23" customWidth="1"/>
    <col min="11" max="11" width="18.85546875" customWidth="1"/>
    <col min="12" max="14" width="20.85546875" customWidth="1"/>
    <col min="15" max="15" width="18.85546875" customWidth="1"/>
    <col min="16" max="18" width="20.85546875" customWidth="1"/>
    <col min="19" max="19" width="18.85546875" customWidth="1"/>
    <col min="21" max="21" width="21.140625" customWidth="1"/>
    <col min="22" max="22" width="19.28515625" customWidth="1"/>
  </cols>
  <sheetData>
    <row r="1" spans="1:28" ht="21" x14ac:dyDescent="0.25">
      <c r="A1" s="402" t="s">
        <v>189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55"/>
      <c r="Q1" s="55"/>
      <c r="R1" s="55"/>
      <c r="S1" s="55"/>
      <c r="T1" s="6"/>
      <c r="U1" s="6"/>
      <c r="V1" s="6"/>
      <c r="W1" s="6"/>
      <c r="X1" s="6"/>
      <c r="Y1" s="6"/>
      <c r="Z1" s="6"/>
      <c r="AA1" s="6"/>
      <c r="AB1" s="6"/>
    </row>
    <row r="2" spans="1:28" ht="15.75" thickBot="1" x14ac:dyDescent="0.3">
      <c r="O2" s="1"/>
      <c r="S2" s="1" t="s">
        <v>10</v>
      </c>
    </row>
    <row r="3" spans="1:28" ht="18.75" x14ac:dyDescent="0.3">
      <c r="A3" s="400"/>
      <c r="B3" s="403" t="s">
        <v>1</v>
      </c>
      <c r="C3" s="405" t="s">
        <v>19</v>
      </c>
      <c r="D3" s="407" t="s">
        <v>117</v>
      </c>
      <c r="E3" s="396" t="s">
        <v>116</v>
      </c>
      <c r="F3" s="397"/>
      <c r="G3" s="398"/>
      <c r="H3" s="398"/>
      <c r="I3" s="399"/>
      <c r="J3" s="407" t="s">
        <v>118</v>
      </c>
      <c r="K3" s="396" t="s">
        <v>112</v>
      </c>
      <c r="L3" s="397"/>
      <c r="M3" s="398"/>
      <c r="N3" s="398"/>
      <c r="O3" s="399"/>
      <c r="P3" s="393" t="s">
        <v>111</v>
      </c>
      <c r="Q3" s="394"/>
      <c r="R3" s="394"/>
      <c r="S3" s="395"/>
    </row>
    <row r="4" spans="1:28" ht="42.75" customHeight="1" thickBot="1" x14ac:dyDescent="0.35">
      <c r="A4" s="401"/>
      <c r="B4" s="404"/>
      <c r="C4" s="406"/>
      <c r="D4" s="408"/>
      <c r="E4" s="8">
        <v>2016</v>
      </c>
      <c r="F4" s="2">
        <v>2017</v>
      </c>
      <c r="G4" s="3">
        <v>2018</v>
      </c>
      <c r="H4" s="3">
        <v>2019</v>
      </c>
      <c r="I4" s="3">
        <v>2020</v>
      </c>
      <c r="J4" s="408"/>
      <c r="K4" s="7">
        <v>2016</v>
      </c>
      <c r="L4" s="4">
        <v>2017</v>
      </c>
      <c r="M4" s="5">
        <v>2018</v>
      </c>
      <c r="N4" s="5">
        <v>2019</v>
      </c>
      <c r="O4" s="5">
        <v>2020</v>
      </c>
      <c r="P4" s="4">
        <v>2017</v>
      </c>
      <c r="Q4" s="5">
        <v>2018</v>
      </c>
      <c r="R4" s="5">
        <v>2019</v>
      </c>
      <c r="S4" s="5">
        <v>2020</v>
      </c>
    </row>
    <row r="5" spans="1:28" ht="19.5" thickBot="1" x14ac:dyDescent="0.35">
      <c r="A5" s="20" t="s">
        <v>13</v>
      </c>
      <c r="B5" s="21">
        <f>Připravované!F69</f>
        <v>2039423991.25</v>
      </c>
      <c r="C5" s="21">
        <f>Připravované!G69</f>
        <v>1736864393.5</v>
      </c>
      <c r="D5" s="21">
        <f>Připravované!H69</f>
        <v>302559597.75</v>
      </c>
      <c r="E5" s="21">
        <f>Připravované!I69</f>
        <v>5436171.0499999998</v>
      </c>
      <c r="F5" s="21">
        <f>Připravované!J69</f>
        <v>29570752</v>
      </c>
      <c r="G5" s="21">
        <f>Připravované!K69</f>
        <v>113368493.7</v>
      </c>
      <c r="H5" s="21">
        <f>Připravované!L69</f>
        <v>144812181</v>
      </c>
      <c r="I5" s="21">
        <f>Připravované!M69</f>
        <v>3175000</v>
      </c>
      <c r="J5" s="75">
        <f>K5+L5+M5+N5+O5</f>
        <v>1719301393.5</v>
      </c>
      <c r="K5" s="78">
        <f>Připravované!N69</f>
        <v>314503.2</v>
      </c>
      <c r="L5" s="21">
        <f>Připravované!O69</f>
        <v>109712513</v>
      </c>
      <c r="M5" s="21">
        <f>Připravované!P69</f>
        <v>955497048.29999995</v>
      </c>
      <c r="N5" s="21">
        <f>Připravované!Q69</f>
        <v>507952329</v>
      </c>
      <c r="O5" s="21">
        <f>Připravované!R69</f>
        <v>145825000</v>
      </c>
      <c r="P5" s="21">
        <f>Připravované!S69</f>
        <v>73690000</v>
      </c>
      <c r="Q5" s="21">
        <f>Připravované!T69</f>
        <v>367976093.5</v>
      </c>
      <c r="R5" s="21">
        <f>Připravované!U69</f>
        <v>936956729</v>
      </c>
      <c r="S5" s="75">
        <f>Připravované!V69</f>
        <v>340021400</v>
      </c>
      <c r="U5" s="74"/>
      <c r="V5" s="74"/>
    </row>
    <row r="6" spans="1:28" ht="18.75" x14ac:dyDescent="0.3">
      <c r="A6" s="86" t="s">
        <v>98</v>
      </c>
      <c r="B6" s="37">
        <f>Připravované!F20</f>
        <v>1487329003.25</v>
      </c>
      <c r="C6" s="37">
        <f>Připravované!G20</f>
        <v>1256755600</v>
      </c>
      <c r="D6" s="37">
        <f>Připravované!H20</f>
        <v>230573403.25</v>
      </c>
      <c r="E6" s="79">
        <f>Připravované!I20</f>
        <v>2766453.25</v>
      </c>
      <c r="F6" s="35">
        <f>Připravované!J20</f>
        <v>16466090</v>
      </c>
      <c r="G6" s="35">
        <f>Připravované!K20</f>
        <v>80803760</v>
      </c>
      <c r="H6" s="35">
        <f>Připravované!L20</f>
        <v>130537100</v>
      </c>
      <c r="I6" s="53">
        <f>Připravované!M20</f>
        <v>0</v>
      </c>
      <c r="J6" s="85">
        <f t="shared" ref="J6:J11" si="0">K6+L6+M6+N6+O6</f>
        <v>1239255600</v>
      </c>
      <c r="K6" s="79">
        <f>Připravované!N20</f>
        <v>0</v>
      </c>
      <c r="L6" s="35">
        <f>Připravované!O20</f>
        <v>80750000</v>
      </c>
      <c r="M6" s="35">
        <f>Připravované!P20</f>
        <v>661340000</v>
      </c>
      <c r="N6" s="35">
        <f>Připravované!Q20</f>
        <v>379915600</v>
      </c>
      <c r="O6" s="53">
        <f>Připravované!R20</f>
        <v>117250000</v>
      </c>
      <c r="P6" s="36">
        <f>Připravované!S20</f>
        <v>72250000</v>
      </c>
      <c r="Q6" s="35">
        <f>Připravované!T20</f>
        <v>215450000</v>
      </c>
      <c r="R6" s="35">
        <f>Připravované!U20</f>
        <v>699818500</v>
      </c>
      <c r="S6" s="62">
        <f>Připravované!V20</f>
        <v>251737100</v>
      </c>
      <c r="U6" s="74"/>
      <c r="V6" s="74"/>
    </row>
    <row r="7" spans="1:28" s="42" customFormat="1" ht="37.5" x14ac:dyDescent="0.25">
      <c r="A7" s="87" t="s">
        <v>99</v>
      </c>
      <c r="B7" s="84">
        <f>Připravované!F35</f>
        <v>0</v>
      </c>
      <c r="C7" s="84">
        <f>Připravované!G35</f>
        <v>0</v>
      </c>
      <c r="D7" s="84">
        <f>Připravované!H35</f>
        <v>0</v>
      </c>
      <c r="E7" s="80">
        <f>Připravované!I35</f>
        <v>0</v>
      </c>
      <c r="F7" s="41">
        <f>Připravované!J35</f>
        <v>0</v>
      </c>
      <c r="G7" s="41">
        <f>Připravované!K35</f>
        <v>0</v>
      </c>
      <c r="H7" s="41">
        <f>Připravované!L35</f>
        <v>0</v>
      </c>
      <c r="I7" s="54">
        <f>Připravované!M35</f>
        <v>0</v>
      </c>
      <c r="J7" s="84">
        <f t="shared" si="0"/>
        <v>0</v>
      </c>
      <c r="K7" s="80">
        <f>Připravované!N35</f>
        <v>0</v>
      </c>
      <c r="L7" s="41">
        <f>Připravované!O35</f>
        <v>0</v>
      </c>
      <c r="M7" s="41">
        <f>Připravované!P35</f>
        <v>0</v>
      </c>
      <c r="N7" s="41">
        <f>Připravované!Q35</f>
        <v>0</v>
      </c>
      <c r="O7" s="54">
        <f>Připravované!R35</f>
        <v>0</v>
      </c>
      <c r="P7" s="40">
        <f>Připravované!S35</f>
        <v>0</v>
      </c>
      <c r="Q7" s="41">
        <f>Připravované!T35</f>
        <v>0</v>
      </c>
      <c r="R7" s="41">
        <f>Připravované!U35</f>
        <v>0</v>
      </c>
      <c r="S7" s="63">
        <f>Připravované!V35</f>
        <v>0</v>
      </c>
      <c r="U7" s="74"/>
      <c r="V7" s="74"/>
    </row>
    <row r="8" spans="1:28" ht="18.75" x14ac:dyDescent="0.3">
      <c r="A8" s="88" t="s">
        <v>96</v>
      </c>
      <c r="B8" s="32">
        <f>Připravované!F41</f>
        <v>128271810</v>
      </c>
      <c r="C8" s="32">
        <f>Připravované!G41</f>
        <v>106312929</v>
      </c>
      <c r="D8" s="32">
        <f>Připravované!H41</f>
        <v>21958881</v>
      </c>
      <c r="E8" s="81">
        <f>Připravované!I41</f>
        <v>70000</v>
      </c>
      <c r="F8" s="19">
        <f>Připravované!J41</f>
        <v>4202000</v>
      </c>
      <c r="G8" s="19">
        <f>Připravované!K41</f>
        <v>4652000</v>
      </c>
      <c r="H8" s="19">
        <f>Připravované!L41</f>
        <v>3662881</v>
      </c>
      <c r="I8" s="65">
        <f>Připravované!M41</f>
        <v>3175000</v>
      </c>
      <c r="J8" s="32">
        <f t="shared" si="0"/>
        <v>106249929</v>
      </c>
      <c r="K8" s="81">
        <f>Připravované!N41</f>
        <v>0</v>
      </c>
      <c r="L8" s="19">
        <f>Připravované!O41</f>
        <v>1440000</v>
      </c>
      <c r="M8" s="19">
        <f>Připravované!P41</f>
        <v>43269000</v>
      </c>
      <c r="N8" s="19">
        <f>Připravované!Q41</f>
        <v>32965929</v>
      </c>
      <c r="O8" s="65">
        <f>Připravované!R41</f>
        <v>28575000</v>
      </c>
      <c r="P8" s="67">
        <f>Připravované!S41</f>
        <v>1440000</v>
      </c>
      <c r="Q8" s="19">
        <f>Připravované!T41</f>
        <v>12699000</v>
      </c>
      <c r="R8" s="19">
        <f>Připravované!U41</f>
        <v>34960929</v>
      </c>
      <c r="S8" s="68">
        <f>Připravované!V41</f>
        <v>57150000</v>
      </c>
      <c r="U8" s="76"/>
      <c r="V8" s="76"/>
    </row>
    <row r="9" spans="1:28" ht="18.75" x14ac:dyDescent="0.3">
      <c r="A9" s="88" t="s">
        <v>89</v>
      </c>
      <c r="B9" s="32">
        <f>Připravované!F48</f>
        <v>138749690</v>
      </c>
      <c r="C9" s="32">
        <f>Připravované!G48</f>
        <v>118134300</v>
      </c>
      <c r="D9" s="32">
        <f>Připravované!H48</f>
        <v>20615390</v>
      </c>
      <c r="E9" s="81">
        <f>Připravované!I48</f>
        <v>1559690</v>
      </c>
      <c r="F9" s="19">
        <f>Připravované!J48</f>
        <v>7673700</v>
      </c>
      <c r="G9" s="19">
        <f>Připravované!K48</f>
        <v>7799000</v>
      </c>
      <c r="H9" s="19">
        <f>Připravované!L48</f>
        <v>3583000</v>
      </c>
      <c r="I9" s="65">
        <f>Připravované!M48</f>
        <v>0</v>
      </c>
      <c r="J9" s="32">
        <f t="shared" si="0"/>
        <v>118134300</v>
      </c>
      <c r="K9" s="81">
        <f>Připravované!N48</f>
        <v>0</v>
      </c>
      <c r="L9" s="19">
        <f>Připravované!O48</f>
        <v>16125300</v>
      </c>
      <c r="M9" s="19">
        <f>Připravované!P48</f>
        <v>70196000</v>
      </c>
      <c r="N9" s="19">
        <f>Připravované!Q48</f>
        <v>31813000</v>
      </c>
      <c r="O9" s="65">
        <f>Připravované!R48</f>
        <v>0</v>
      </c>
      <c r="P9" s="67">
        <f>Připravované!S48</f>
        <v>0</v>
      </c>
      <c r="Q9" s="19">
        <f>Připravované!T48</f>
        <v>35000000</v>
      </c>
      <c r="R9" s="19">
        <f>Připravované!U48</f>
        <v>52000000</v>
      </c>
      <c r="S9" s="68">
        <f>Připravované!V48</f>
        <v>31134300</v>
      </c>
      <c r="U9" s="76"/>
      <c r="V9" s="76"/>
    </row>
    <row r="10" spans="1:28" ht="18.75" x14ac:dyDescent="0.3">
      <c r="A10" s="89" t="s">
        <v>97</v>
      </c>
      <c r="B10" s="91">
        <f>Připravované!F63</f>
        <v>263849488</v>
      </c>
      <c r="C10" s="91">
        <f>Připravované!G63</f>
        <v>236761564.5</v>
      </c>
      <c r="D10" s="91">
        <f>Připravované!H63</f>
        <v>27087923.5</v>
      </c>
      <c r="E10" s="82">
        <f>Připravované!I63</f>
        <v>816027.8</v>
      </c>
      <c r="F10" s="38">
        <f>Připravované!J63</f>
        <v>128962</v>
      </c>
      <c r="G10" s="38">
        <f>Připravované!K63</f>
        <v>19113733.699999999</v>
      </c>
      <c r="H10" s="38">
        <f>Připravované!L63</f>
        <v>7029200</v>
      </c>
      <c r="I10" s="66">
        <f>Připravované!M63</f>
        <v>0</v>
      </c>
      <c r="J10" s="32">
        <f t="shared" si="0"/>
        <v>236761564.5</v>
      </c>
      <c r="K10" s="82">
        <f>Připravované!N63</f>
        <v>314503.2</v>
      </c>
      <c r="L10" s="38">
        <f>Připravované!O63</f>
        <v>1497213</v>
      </c>
      <c r="M10" s="38">
        <f>Připravované!P63</f>
        <v>171692048.30000001</v>
      </c>
      <c r="N10" s="38">
        <f>Připravované!Q63</f>
        <v>63257800</v>
      </c>
      <c r="O10" s="66">
        <f>Připravované!R63</f>
        <v>0</v>
      </c>
      <c r="P10" s="69">
        <f>Připravované!S63</f>
        <v>0</v>
      </c>
      <c r="Q10" s="38">
        <f>Připravované!T63</f>
        <v>94927093.5</v>
      </c>
      <c r="R10" s="38">
        <f>Připravované!U63</f>
        <v>141177300</v>
      </c>
      <c r="S10" s="70">
        <f>Připravované!V63</f>
        <v>0</v>
      </c>
      <c r="U10" s="76"/>
      <c r="V10" s="76"/>
    </row>
    <row r="11" spans="1:28" ht="19.5" thickBot="1" x14ac:dyDescent="0.35">
      <c r="A11" s="90" t="s">
        <v>91</v>
      </c>
      <c r="B11" s="33">
        <f>Připravované!F67</f>
        <v>21224000</v>
      </c>
      <c r="C11" s="33">
        <f>Připravované!G67</f>
        <v>18900000</v>
      </c>
      <c r="D11" s="33">
        <f>Připravované!H67</f>
        <v>2324000</v>
      </c>
      <c r="E11" s="83">
        <f>Připravované!I67</f>
        <v>224000</v>
      </c>
      <c r="F11" s="28">
        <f>Připravované!J67</f>
        <v>1100000</v>
      </c>
      <c r="G11" s="28">
        <f>Připravované!K67</f>
        <v>1000000</v>
      </c>
      <c r="H11" s="28">
        <f>Připravované!L67</f>
        <v>0</v>
      </c>
      <c r="I11" s="31">
        <f>Připravované!M67</f>
        <v>0</v>
      </c>
      <c r="J11" s="33">
        <f t="shared" si="0"/>
        <v>18900000</v>
      </c>
      <c r="K11" s="83">
        <f>Připravované!N67</f>
        <v>0</v>
      </c>
      <c r="L11" s="28">
        <f>Připravované!O67</f>
        <v>9900000</v>
      </c>
      <c r="M11" s="28">
        <f>Připravované!P67</f>
        <v>9000000</v>
      </c>
      <c r="N11" s="28">
        <f>Připravované!Q67</f>
        <v>0</v>
      </c>
      <c r="O11" s="31">
        <f>Připravované!R67</f>
        <v>0</v>
      </c>
      <c r="P11" s="34">
        <f>Připravované!S67</f>
        <v>0</v>
      </c>
      <c r="Q11" s="28">
        <f>Připravované!T67</f>
        <v>9900000</v>
      </c>
      <c r="R11" s="28">
        <f>Připravované!U67</f>
        <v>9000000</v>
      </c>
      <c r="S11" s="64">
        <f>Připravované!V67</f>
        <v>0</v>
      </c>
      <c r="U11" s="76"/>
      <c r="V11" s="76"/>
    </row>
    <row r="12" spans="1:28" ht="18.600000000000001" thickBot="1" x14ac:dyDescent="0.4">
      <c r="A12" s="419"/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1"/>
      <c r="P12" s="58"/>
      <c r="Q12" s="58"/>
      <c r="R12" s="58"/>
      <c r="S12" s="58"/>
    </row>
    <row r="13" spans="1:28" ht="19.5" thickBot="1" x14ac:dyDescent="0.35">
      <c r="A13" s="29" t="s">
        <v>14</v>
      </c>
      <c r="B13" s="21">
        <f>Podané!F87</f>
        <v>1557874016.3380001</v>
      </c>
      <c r="C13" s="21">
        <f>Podané!G87</f>
        <v>1192174911.8253</v>
      </c>
      <c r="D13" s="21">
        <f>Podané!H87</f>
        <v>365699104.51270002</v>
      </c>
      <c r="E13" s="21">
        <f>Podané!I87</f>
        <v>16613093.018000001</v>
      </c>
      <c r="F13" s="21">
        <f>Podané!J87</f>
        <v>71603764.147899985</v>
      </c>
      <c r="G13" s="21">
        <f>Podané!K87</f>
        <v>259469431.00280005</v>
      </c>
      <c r="H13" s="21">
        <f>Podané!L87</f>
        <v>17992184.804000001</v>
      </c>
      <c r="I13" s="25">
        <v>0</v>
      </c>
      <c r="J13" s="21">
        <f>K13+L13+M13+N13+O13</f>
        <v>1147560474.5153</v>
      </c>
      <c r="K13" s="30">
        <f>Podané!N87</f>
        <v>16848625.432</v>
      </c>
      <c r="L13" s="75">
        <f>Podané!O87</f>
        <v>422507111.04110003</v>
      </c>
      <c r="M13" s="93">
        <f>Podané!P87</f>
        <v>656423251.82570004</v>
      </c>
      <c r="N13" s="27">
        <f>Podané!Q87</f>
        <v>51781486.216500007</v>
      </c>
      <c r="O13" s="27">
        <f>Podané!R87</f>
        <v>0</v>
      </c>
      <c r="P13" s="27">
        <f>Podané!S87</f>
        <v>227161016.90000001</v>
      </c>
      <c r="Q13" s="27">
        <f>Podané!T87</f>
        <v>706805205.42135</v>
      </c>
      <c r="R13" s="27">
        <f>Podané!U87</f>
        <v>161855290.45845002</v>
      </c>
      <c r="S13" s="27">
        <f>Podané!V87</f>
        <v>51781486.216500007</v>
      </c>
      <c r="U13" s="74"/>
      <c r="V13" s="74"/>
    </row>
    <row r="14" spans="1:28" ht="18" x14ac:dyDescent="0.35">
      <c r="A14" s="241" t="s">
        <v>98</v>
      </c>
      <c r="B14" s="37">
        <f>Podané!F14</f>
        <v>805238832.01800001</v>
      </c>
      <c r="C14" s="37">
        <f>Podané!G14</f>
        <v>668127963.46829998</v>
      </c>
      <c r="D14" s="234">
        <f>Podané!H14</f>
        <v>137110868.54969999</v>
      </c>
      <c r="E14" s="36">
        <f>Podané!I14</f>
        <v>8758079.4000000004</v>
      </c>
      <c r="F14" s="35">
        <f>Podané!J14</f>
        <v>52291322.247899994</v>
      </c>
      <c r="G14" s="35">
        <f>Podané!K14</f>
        <v>58786424.097800002</v>
      </c>
      <c r="H14" s="35">
        <f>Podané!L14</f>
        <v>17275042.804000001</v>
      </c>
      <c r="I14" s="62">
        <v>0</v>
      </c>
      <c r="J14" s="37">
        <f t="shared" ref="J14:J19" si="1">K14+L14+M14+N14+O14</f>
        <v>665632963.4683001</v>
      </c>
      <c r="K14" s="72">
        <f>Podané!N14</f>
        <v>544670.1</v>
      </c>
      <c r="L14" s="37">
        <f>Podané!O14</f>
        <v>297454278.4411</v>
      </c>
      <c r="M14" s="37">
        <f>Podané!P14</f>
        <v>319452528.71069998</v>
      </c>
      <c r="N14" s="37">
        <f>Podané!Q14</f>
        <v>48181486.216500007</v>
      </c>
      <c r="O14" s="52">
        <f>Podané!R14</f>
        <v>0</v>
      </c>
      <c r="P14" s="36">
        <f>Podané!S14</f>
        <v>174812000</v>
      </c>
      <c r="Q14" s="35">
        <f>Podané!T14</f>
        <v>396778497.27335</v>
      </c>
      <c r="R14" s="35">
        <f>Podané!U14</f>
        <v>45860979.97845</v>
      </c>
      <c r="S14" s="62">
        <f>Podané!V14</f>
        <v>48181486.216500007</v>
      </c>
    </row>
    <row r="15" spans="1:28" ht="18.75" x14ac:dyDescent="0.3">
      <c r="A15" s="89" t="s">
        <v>95</v>
      </c>
      <c r="B15" s="32">
        <f>Podané!F18</f>
        <v>0</v>
      </c>
      <c r="C15" s="32">
        <f>Podané!G18</f>
        <v>0</v>
      </c>
      <c r="D15" s="243">
        <f>Podané!H18</f>
        <v>0</v>
      </c>
      <c r="E15" s="67">
        <f>Podané!I18</f>
        <v>0</v>
      </c>
      <c r="F15" s="19">
        <f>Podané!J18</f>
        <v>0</v>
      </c>
      <c r="G15" s="19">
        <f>Podané!K18</f>
        <v>0</v>
      </c>
      <c r="H15" s="19">
        <f>Podané!L18</f>
        <v>0</v>
      </c>
      <c r="I15" s="68">
        <v>0</v>
      </c>
      <c r="J15" s="32">
        <f t="shared" si="1"/>
        <v>0</v>
      </c>
      <c r="K15" s="73">
        <f>Podané!N18</f>
        <v>0</v>
      </c>
      <c r="L15" s="32">
        <f>Podané!O18</f>
        <v>0</v>
      </c>
      <c r="M15" s="32">
        <f>Podané!P18</f>
        <v>0</v>
      </c>
      <c r="N15" s="32">
        <f>Podané!Q18</f>
        <v>0</v>
      </c>
      <c r="O15" s="71">
        <f>Podané!R18</f>
        <v>0</v>
      </c>
      <c r="P15" s="67">
        <f>Podané!S18</f>
        <v>0</v>
      </c>
      <c r="Q15" s="19">
        <f>Podané!T18</f>
        <v>0</v>
      </c>
      <c r="R15" s="19">
        <f>Podané!U18</f>
        <v>0</v>
      </c>
      <c r="S15" s="68">
        <f>Podané!V18</f>
        <v>0</v>
      </c>
    </row>
    <row r="16" spans="1:28" ht="18.75" x14ac:dyDescent="0.3">
      <c r="A16" s="89" t="s">
        <v>96</v>
      </c>
      <c r="B16" s="32">
        <f>Podané!F31</f>
        <v>23557597.399999999</v>
      </c>
      <c r="C16" s="32">
        <f>Podané!G31</f>
        <v>11400534.560000001</v>
      </c>
      <c r="D16" s="243">
        <f>Podané!H31</f>
        <v>12157062.84</v>
      </c>
      <c r="E16" s="67">
        <f>Podané!I31</f>
        <v>121033.288</v>
      </c>
      <c r="F16" s="19">
        <f>Podané!J31</f>
        <v>1200000</v>
      </c>
      <c r="G16" s="19">
        <f>Podané!K31</f>
        <v>10836029.551999999</v>
      </c>
      <c r="H16" s="19">
        <f>Podané!L31</f>
        <v>0</v>
      </c>
      <c r="I16" s="68">
        <v>0</v>
      </c>
      <c r="J16" s="32">
        <f t="shared" si="1"/>
        <v>11400534.560000001</v>
      </c>
      <c r="K16" s="73">
        <f>Podané!N31</f>
        <v>181549.932</v>
      </c>
      <c r="L16" s="32">
        <f>Podané!O31</f>
        <v>8000000</v>
      </c>
      <c r="M16" s="32">
        <f>Podané!P31</f>
        <v>3218984.628</v>
      </c>
      <c r="N16" s="32">
        <f>Podané!Q31</f>
        <v>0</v>
      </c>
      <c r="O16" s="71">
        <f>Podané!R31</f>
        <v>0</v>
      </c>
      <c r="P16" s="67">
        <f>Podané!S31</f>
        <v>0</v>
      </c>
      <c r="Q16" s="19">
        <f>Podané!T31</f>
        <v>10718984.628</v>
      </c>
      <c r="R16" s="19">
        <f>Podané!U31</f>
        <v>500000</v>
      </c>
      <c r="S16" s="68">
        <f>Podané!V31</f>
        <v>0</v>
      </c>
    </row>
    <row r="17" spans="1:22" ht="18.75" x14ac:dyDescent="0.3">
      <c r="A17" s="89" t="s">
        <v>89</v>
      </c>
      <c r="B17" s="32">
        <f>Podané!F37</f>
        <v>65566322.799999997</v>
      </c>
      <c r="C17" s="32">
        <f>Podané!G37</f>
        <v>58332310.260000005</v>
      </c>
      <c r="D17" s="243">
        <f>Podané!H37</f>
        <v>7234012.5399999991</v>
      </c>
      <c r="E17" s="67">
        <f>Podané!I37</f>
        <v>2438846.48</v>
      </c>
      <c r="F17" s="19">
        <f>Podané!J37</f>
        <v>2633250.52</v>
      </c>
      <c r="G17" s="19">
        <f>Podané!K37</f>
        <v>1824142</v>
      </c>
      <c r="H17" s="19">
        <f>Podané!L37</f>
        <v>317142</v>
      </c>
      <c r="I17" s="68">
        <v>0</v>
      </c>
      <c r="J17" s="32">
        <f t="shared" si="1"/>
        <v>40867500</v>
      </c>
      <c r="K17" s="73">
        <f>Podané!N37</f>
        <v>10489500</v>
      </c>
      <c r="L17" s="32">
        <f>Podané!O37</f>
        <v>16815000</v>
      </c>
      <c r="M17" s="32">
        <f>Podané!P37</f>
        <v>13563000</v>
      </c>
      <c r="N17" s="32">
        <f>Podané!Q37</f>
        <v>0</v>
      </c>
      <c r="O17" s="71">
        <f>Podané!R37</f>
        <v>0</v>
      </c>
      <c r="P17" s="67">
        <f>Podané!S37</f>
        <v>13741500</v>
      </c>
      <c r="Q17" s="19">
        <f>Podané!T37</f>
        <v>13563000</v>
      </c>
      <c r="R17" s="19">
        <f>Podané!U37</f>
        <v>13563000</v>
      </c>
      <c r="S17" s="68">
        <f>Podané!V37</f>
        <v>0</v>
      </c>
    </row>
    <row r="18" spans="1:22" ht="18.75" x14ac:dyDescent="0.3">
      <c r="A18" s="89" t="s">
        <v>97</v>
      </c>
      <c r="B18" s="32">
        <f>Podané!F81</f>
        <v>426825297.36000007</v>
      </c>
      <c r="C18" s="32">
        <f>Podané!G81</f>
        <v>246252907.28700003</v>
      </c>
      <c r="D18" s="243">
        <f>Podané!H81</f>
        <v>180572390.07300001</v>
      </c>
      <c r="E18" s="67">
        <f>Podané!I81</f>
        <v>4528586.4000000004</v>
      </c>
      <c r="F18" s="19">
        <f>Podané!J81</f>
        <v>2288230.6</v>
      </c>
      <c r="G18" s="19">
        <f>Podané!K81</f>
        <v>173755573.07300004</v>
      </c>
      <c r="H18" s="19">
        <f>Podané!L81</f>
        <v>0</v>
      </c>
      <c r="I18" s="68">
        <v>0</v>
      </c>
      <c r="J18" s="32">
        <f t="shared" si="1"/>
        <v>221503010.88700002</v>
      </c>
      <c r="K18" s="73">
        <f>Podané!N81</f>
        <v>155992.5</v>
      </c>
      <c r="L18" s="32">
        <f>Podané!O81</f>
        <v>324000</v>
      </c>
      <c r="M18" s="32">
        <f>Podané!P81</f>
        <v>221023018.38700002</v>
      </c>
      <c r="N18" s="32">
        <f>Podané!Q81</f>
        <v>0</v>
      </c>
      <c r="O18" s="71">
        <f>Podané!R81</f>
        <v>0</v>
      </c>
      <c r="P18" s="67">
        <f>Podané!S81</f>
        <v>0</v>
      </c>
      <c r="Q18" s="19">
        <f>Podané!T81</f>
        <v>169319513.12000003</v>
      </c>
      <c r="R18" s="19">
        <f>Podané!U81</f>
        <v>52407572.180000007</v>
      </c>
      <c r="S18" s="68">
        <f>Podané!V81</f>
        <v>0</v>
      </c>
    </row>
    <row r="19" spans="1:22" s="42" customFormat="1" ht="37.5" x14ac:dyDescent="0.25">
      <c r="A19" s="87" t="s">
        <v>99</v>
      </c>
      <c r="B19" s="84">
        <f>Podané!F24</f>
        <v>236050837.75999999</v>
      </c>
      <c r="C19" s="84">
        <f>Podané!G24</f>
        <v>207521336.59999999</v>
      </c>
      <c r="D19" s="244">
        <f>Podané!H24</f>
        <v>28529501.159999996</v>
      </c>
      <c r="E19" s="40">
        <f>Podané!I24</f>
        <v>763843.10000000009</v>
      </c>
      <c r="F19" s="41">
        <f>Podané!J24</f>
        <v>13190960.780000001</v>
      </c>
      <c r="G19" s="41">
        <f>Podané!K24</f>
        <v>14174697.279999999</v>
      </c>
      <c r="H19" s="41">
        <f>Podané!L24</f>
        <v>400000</v>
      </c>
      <c r="I19" s="63">
        <f>Podané!M24</f>
        <v>0</v>
      </c>
      <c r="J19" s="84">
        <f t="shared" si="1"/>
        <v>207521336.59999999</v>
      </c>
      <c r="K19" s="84">
        <f>Podané!N24</f>
        <v>5458883.9000000004</v>
      </c>
      <c r="L19" s="84">
        <f>Podané!O24</f>
        <v>99913832.599999994</v>
      </c>
      <c r="M19" s="84">
        <f>Podané!P24</f>
        <v>98548620.099999994</v>
      </c>
      <c r="N19" s="84">
        <f>Podané!Q24</f>
        <v>3600000</v>
      </c>
      <c r="O19" s="171">
        <f>Podané!R24</f>
        <v>0</v>
      </c>
      <c r="P19" s="40">
        <f>Podané!S24</f>
        <v>38607516.899999999</v>
      </c>
      <c r="Q19" s="41">
        <f>Podané!T24</f>
        <v>115790081.40000001</v>
      </c>
      <c r="R19" s="41">
        <f>Podané!U24</f>
        <v>49523738.299999997</v>
      </c>
      <c r="S19" s="63">
        <f>Podané!V24</f>
        <v>3600000</v>
      </c>
    </row>
    <row r="20" spans="1:22" s="42" customFormat="1" ht="19.5" thickBot="1" x14ac:dyDescent="0.3">
      <c r="A20" s="242" t="s">
        <v>91</v>
      </c>
      <c r="B20" s="61">
        <f>Podané!F85</f>
        <v>635129</v>
      </c>
      <c r="C20" s="61">
        <f>Podané!G85</f>
        <v>539859.65</v>
      </c>
      <c r="D20" s="245">
        <f>Podané!H85</f>
        <v>95269.349999999977</v>
      </c>
      <c r="E20" s="246">
        <f>Podané!I85</f>
        <v>2704.35</v>
      </c>
      <c r="F20" s="247">
        <f>Podané!J85</f>
        <v>0</v>
      </c>
      <c r="G20" s="247">
        <f>Podané!K85</f>
        <v>92565</v>
      </c>
      <c r="H20" s="247">
        <f>Podané!L85</f>
        <v>0</v>
      </c>
      <c r="I20" s="248">
        <f>Podané!M85</f>
        <v>0</v>
      </c>
      <c r="J20" s="246">
        <f>Podané!N85</f>
        <v>18029</v>
      </c>
      <c r="K20" s="247">
        <f>Podané!O85</f>
        <v>0</v>
      </c>
      <c r="L20" s="247">
        <f>Podané!P85</f>
        <v>617100</v>
      </c>
      <c r="M20" s="247">
        <f>Podané!Q85</f>
        <v>0</v>
      </c>
      <c r="N20" s="247">
        <f>Podané!R85</f>
        <v>0</v>
      </c>
      <c r="O20" s="249">
        <f>Podané!S85</f>
        <v>0</v>
      </c>
      <c r="P20" s="246">
        <f>Podané!T85</f>
        <v>635129</v>
      </c>
      <c r="Q20" s="247">
        <f>Podané!U85</f>
        <v>0</v>
      </c>
      <c r="R20" s="247">
        <f>Podané!V85</f>
        <v>0</v>
      </c>
      <c r="S20" s="248">
        <f>Podané!W85</f>
        <v>0</v>
      </c>
    </row>
    <row r="21" spans="1:22" ht="18.600000000000001" thickBot="1" x14ac:dyDescent="0.4">
      <c r="A21" s="416"/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8"/>
      <c r="P21" s="56"/>
      <c r="Q21" s="56"/>
      <c r="R21" s="56"/>
      <c r="S21" s="56"/>
    </row>
    <row r="22" spans="1:22" ht="19.5" thickBot="1" x14ac:dyDescent="0.35">
      <c r="A22" s="20" t="s">
        <v>15</v>
      </c>
      <c r="B22" s="21">
        <f>Realizované!F36</f>
        <v>693361087.83999991</v>
      </c>
      <c r="C22" s="22">
        <f>Realizované!G36</f>
        <v>608754148.86000001</v>
      </c>
      <c r="D22" s="22">
        <f>Realizované!H36</f>
        <v>82307938.980000004</v>
      </c>
      <c r="E22" s="23">
        <f>Realizované!I36</f>
        <v>5809737.5666666664</v>
      </c>
      <c r="F22" s="24">
        <f>Realizované!J36</f>
        <v>67612119.516666666</v>
      </c>
      <c r="G22" s="25">
        <f>Realizované!K36</f>
        <v>6514674.2366666673</v>
      </c>
      <c r="H22" s="25">
        <f>Realizované!L36</f>
        <v>2049384.0599999987</v>
      </c>
      <c r="I22" s="25">
        <v>0</v>
      </c>
      <c r="J22" s="21">
        <f>K22+L22+M22+N22+O22</f>
        <v>41014066</v>
      </c>
      <c r="K22" s="26">
        <f>Realizované!O36</f>
        <v>3920400</v>
      </c>
      <c r="L22" s="24">
        <f>Realizované!P36</f>
        <v>29981866</v>
      </c>
      <c r="M22" s="27">
        <f>Realizované!Q36</f>
        <v>3082050</v>
      </c>
      <c r="N22" s="27">
        <f>Realizované!R36</f>
        <v>4029750</v>
      </c>
      <c r="O22" s="27">
        <f>Realizované!S36</f>
        <v>0</v>
      </c>
      <c r="P22" s="27">
        <f>Realizované!U36</f>
        <v>29613662.399999999</v>
      </c>
      <c r="Q22" s="27">
        <f>Realizované!V36</f>
        <v>5494050</v>
      </c>
      <c r="R22" s="27">
        <f>Realizované!W36</f>
        <v>4734450</v>
      </c>
      <c r="S22" s="27">
        <f>Realizované!Y36</f>
        <v>0</v>
      </c>
      <c r="U22" s="74"/>
      <c r="V22" s="74"/>
    </row>
    <row r="23" spans="1:22" ht="18" x14ac:dyDescent="0.35">
      <c r="A23" s="86" t="s">
        <v>98</v>
      </c>
      <c r="B23" s="52">
        <f>Realizované!F8</f>
        <v>7582000</v>
      </c>
      <c r="C23" s="52">
        <f>Realizované!G8</f>
        <v>4754700</v>
      </c>
      <c r="D23" s="52">
        <f>Realizované!H8</f>
        <v>528300</v>
      </c>
      <c r="E23" s="36">
        <f>Realizované!I8</f>
        <v>0</v>
      </c>
      <c r="F23" s="35">
        <f>Realizované!J8</f>
        <v>0</v>
      </c>
      <c r="G23" s="35">
        <f>Realizované!K8</f>
        <v>264150</v>
      </c>
      <c r="H23" s="35">
        <f>Realizované!L8</f>
        <v>264150</v>
      </c>
      <c r="I23" s="53">
        <f>Realizované!M8</f>
        <v>0</v>
      </c>
      <c r="J23" s="52">
        <f>Realizované!N8</f>
        <v>0</v>
      </c>
      <c r="K23" s="36">
        <f>Realizované!O8</f>
        <v>0</v>
      </c>
      <c r="L23" s="35">
        <f>Realizované!P8</f>
        <v>0</v>
      </c>
      <c r="M23" s="35">
        <f>Realizované!Q8</f>
        <v>2377350</v>
      </c>
      <c r="N23" s="35">
        <f>Realizované!R8</f>
        <v>2377350</v>
      </c>
      <c r="O23" s="53">
        <f>Realizované!S8</f>
        <v>0</v>
      </c>
      <c r="P23" s="36">
        <f>Realizované!T8</f>
        <v>0</v>
      </c>
      <c r="Q23" s="35">
        <f>Realizované!U8</f>
        <v>0</v>
      </c>
      <c r="R23" s="35">
        <f>Realizované!V8</f>
        <v>2377350</v>
      </c>
      <c r="S23" s="62">
        <f>Realizované!W8</f>
        <v>2377350</v>
      </c>
    </row>
    <row r="24" spans="1:22" ht="18.75" x14ac:dyDescent="0.3">
      <c r="A24" s="88" t="s">
        <v>89</v>
      </c>
      <c r="B24" s="71">
        <f>Realizované!F16</f>
        <v>345212491.63999999</v>
      </c>
      <c r="C24" s="71">
        <f>Realizované!G16</f>
        <v>327951867.45999998</v>
      </c>
      <c r="D24" s="71">
        <f>Realizované!H16</f>
        <v>17260624.18</v>
      </c>
      <c r="E24" s="67">
        <f>Realizované!I16</f>
        <v>4289616.4666666668</v>
      </c>
      <c r="F24" s="19">
        <f>Realizované!J16</f>
        <v>6061260.416666667</v>
      </c>
      <c r="G24" s="19">
        <f>Realizované!K16</f>
        <v>5470113.2366666673</v>
      </c>
      <c r="H24" s="19">
        <f>Realizované!L16</f>
        <v>1439634.0599999987</v>
      </c>
      <c r="I24" s="65">
        <v>0</v>
      </c>
      <c r="J24" s="171">
        <f t="shared" ref="J24:J27" si="2">K24+L24+M24+N24+O24</f>
        <v>0</v>
      </c>
      <c r="K24" s="67">
        <f>Realizované!O16</f>
        <v>0</v>
      </c>
      <c r="L24" s="19">
        <f>Realizované!P16</f>
        <v>0</v>
      </c>
      <c r="M24" s="19">
        <f>Realizované!Q16</f>
        <v>0</v>
      </c>
      <c r="N24" s="19">
        <f>Realizované!R16</f>
        <v>0</v>
      </c>
      <c r="O24" s="65">
        <f>Realizované!S16</f>
        <v>0</v>
      </c>
      <c r="P24" s="67">
        <f>Realizované!U16</f>
        <v>0</v>
      </c>
      <c r="Q24" s="19">
        <f>Realizované!V16</f>
        <v>0</v>
      </c>
      <c r="R24" s="19">
        <f>Realizované!W16</f>
        <v>0</v>
      </c>
      <c r="S24" s="68">
        <f>Realizované!Y16</f>
        <v>0</v>
      </c>
    </row>
    <row r="25" spans="1:22" s="42" customFormat="1" ht="35.25" customHeight="1" x14ac:dyDescent="0.25">
      <c r="A25" s="87" t="s">
        <v>93</v>
      </c>
      <c r="B25" s="171">
        <f>Realizované!F19</f>
        <v>172000000</v>
      </c>
      <c r="C25" s="171">
        <f>Realizované!G19</f>
        <v>172000000</v>
      </c>
      <c r="D25" s="171">
        <f>Realizované!H19</f>
        <v>0</v>
      </c>
      <c r="E25" s="40">
        <f>Realizované!I19</f>
        <v>0</v>
      </c>
      <c r="F25" s="41">
        <f>Realizované!J19</f>
        <v>0</v>
      </c>
      <c r="G25" s="41">
        <f>Realizované!K19</f>
        <v>0</v>
      </c>
      <c r="H25" s="41">
        <f>Realizované!L19</f>
        <v>0</v>
      </c>
      <c r="I25" s="41">
        <f>Realizované!M19</f>
        <v>0</v>
      </c>
      <c r="J25" s="171">
        <f t="shared" si="2"/>
        <v>0</v>
      </c>
      <c r="K25" s="171">
        <f>Realizované!O19</f>
        <v>0</v>
      </c>
      <c r="L25" s="41">
        <f>Realizované!P19</f>
        <v>0</v>
      </c>
      <c r="M25" s="41">
        <f>Realizované!Q19</f>
        <v>0</v>
      </c>
      <c r="N25" s="41">
        <f>Realizované!R19</f>
        <v>0</v>
      </c>
      <c r="O25" s="80">
        <f>Realizované!S28</f>
        <v>0</v>
      </c>
      <c r="P25" s="40">
        <f>Realizované!U19</f>
        <v>0</v>
      </c>
      <c r="Q25" s="41">
        <f>Realizované!V19</f>
        <v>0</v>
      </c>
      <c r="R25" s="41">
        <f>Realizované!W19</f>
        <v>0</v>
      </c>
      <c r="S25" s="63">
        <f>Realizované!Y19</f>
        <v>0</v>
      </c>
    </row>
    <row r="26" spans="1:22" s="42" customFormat="1" ht="35.25" customHeight="1" x14ac:dyDescent="0.25">
      <c r="A26" s="87" t="s">
        <v>97</v>
      </c>
      <c r="B26" s="171">
        <f>Realizované!F28</f>
        <v>146557936.19999999</v>
      </c>
      <c r="C26" s="171">
        <f>Realizované!G28</f>
        <v>84407370.400000006</v>
      </c>
      <c r="D26" s="171">
        <f>Realizované!H28</f>
        <v>62150565.800000004</v>
      </c>
      <c r="E26" s="40">
        <f>Realizované!I28</f>
        <v>827769.1</v>
      </c>
      <c r="F26" s="41">
        <f>Realizované!J28</f>
        <v>60676773.100000001</v>
      </c>
      <c r="G26" s="41">
        <f>Realizované!K28</f>
        <v>162000</v>
      </c>
      <c r="H26" s="41">
        <f>Realizované!L28</f>
        <v>162000</v>
      </c>
      <c r="I26" s="54">
        <f>Realizované!O28</f>
        <v>803700</v>
      </c>
      <c r="J26" s="171">
        <f t="shared" si="2"/>
        <v>27668866</v>
      </c>
      <c r="K26" s="171">
        <f>Realizované!O28</f>
        <v>803700</v>
      </c>
      <c r="L26" s="41">
        <f>Realizované!P28</f>
        <v>26865166</v>
      </c>
      <c r="M26" s="41">
        <f>Realizované!Q28</f>
        <v>0</v>
      </c>
      <c r="N26" s="41">
        <f>Realizované!R28</f>
        <v>0</v>
      </c>
      <c r="O26" s="80">
        <f>Realizované!S28</f>
        <v>0</v>
      </c>
      <c r="P26" s="40">
        <f>Realizované!AB28</f>
        <v>0</v>
      </c>
      <c r="Q26" s="41">
        <f>Realizované!AC28</f>
        <v>0</v>
      </c>
      <c r="R26" s="41">
        <f>Realizované!AD28</f>
        <v>0</v>
      </c>
      <c r="S26" s="63">
        <f>Realizované!AE28</f>
        <v>0</v>
      </c>
    </row>
    <row r="27" spans="1:22" ht="19.5" thickBot="1" x14ac:dyDescent="0.35">
      <c r="A27" s="90" t="s">
        <v>91</v>
      </c>
      <c r="B27" s="39">
        <f>Realizované!F33</f>
        <v>22008660</v>
      </c>
      <c r="C27" s="39">
        <f>Realizované!G33</f>
        <v>19640211</v>
      </c>
      <c r="D27" s="39">
        <f>Realizované!H33</f>
        <v>2368449</v>
      </c>
      <c r="E27" s="34">
        <f>Realizované!I33</f>
        <v>692352</v>
      </c>
      <c r="F27" s="28">
        <f>Realizované!J33</f>
        <v>874086</v>
      </c>
      <c r="G27" s="28">
        <f>Realizované!K33</f>
        <v>618411</v>
      </c>
      <c r="H27" s="28">
        <f>Realizované!L33</f>
        <v>183600</v>
      </c>
      <c r="I27" s="31">
        <v>0</v>
      </c>
      <c r="J27" s="235">
        <f t="shared" si="2"/>
        <v>8590500</v>
      </c>
      <c r="K27" s="34">
        <f>Realizované!O33</f>
        <v>3116700</v>
      </c>
      <c r="L27" s="28">
        <f>Realizované!P33</f>
        <v>3116700</v>
      </c>
      <c r="M27" s="28">
        <f>Realizované!Q33</f>
        <v>704700</v>
      </c>
      <c r="N27" s="28">
        <f>Realizované!R33</f>
        <v>1652400</v>
      </c>
      <c r="O27" s="31">
        <f>Realizované!S33</f>
        <v>0</v>
      </c>
      <c r="P27" s="34">
        <f>Realizované!U33</f>
        <v>3116700</v>
      </c>
      <c r="Q27" s="28">
        <f>Realizované!V33</f>
        <v>3116700</v>
      </c>
      <c r="R27" s="28">
        <f>Realizované!W33</f>
        <v>2357100</v>
      </c>
      <c r="S27" s="64">
        <f>Realizované!Y33</f>
        <v>0</v>
      </c>
    </row>
    <row r="28" spans="1:22" ht="18.600000000000001" thickBot="1" x14ac:dyDescent="0.4">
      <c r="A28" s="422"/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4"/>
    </row>
    <row r="29" spans="1:22" s="42" customFormat="1" ht="30.75" customHeight="1" thickBot="1" x14ac:dyDescent="0.3">
      <c r="A29" s="236" t="s">
        <v>16</v>
      </c>
      <c r="B29" s="240">
        <f t="shared" ref="B29:J29" si="3">B5+B13+B22</f>
        <v>4290659095.4280005</v>
      </c>
      <c r="C29" s="240">
        <f t="shared" si="3"/>
        <v>3537793454.1853004</v>
      </c>
      <c r="D29" s="240">
        <f t="shared" si="3"/>
        <v>750566641.2427001</v>
      </c>
      <c r="E29" s="240">
        <f t="shared" si="3"/>
        <v>27859001.634666666</v>
      </c>
      <c r="F29" s="240">
        <f t="shared" si="3"/>
        <v>168786635.66456664</v>
      </c>
      <c r="G29" s="240">
        <f t="shared" si="3"/>
        <v>379352598.93946671</v>
      </c>
      <c r="H29" s="240">
        <f t="shared" si="3"/>
        <v>164853749.86399999</v>
      </c>
      <c r="I29" s="240">
        <f t="shared" si="3"/>
        <v>3175000</v>
      </c>
      <c r="J29" s="240">
        <f t="shared" si="3"/>
        <v>2907875934.0152998</v>
      </c>
      <c r="K29" s="240">
        <f t="shared" ref="K29:S29" si="4">K5+K13+K22</f>
        <v>21083528.631999999</v>
      </c>
      <c r="L29" s="240">
        <f t="shared" si="4"/>
        <v>562201490.04110003</v>
      </c>
      <c r="M29" s="240">
        <f t="shared" si="4"/>
        <v>1615002350.1257</v>
      </c>
      <c r="N29" s="240">
        <f t="shared" si="4"/>
        <v>563763565.21650004</v>
      </c>
      <c r="O29" s="240">
        <f t="shared" si="4"/>
        <v>145825000</v>
      </c>
      <c r="P29" s="240">
        <f t="shared" si="4"/>
        <v>330464679.29999995</v>
      </c>
      <c r="Q29" s="240">
        <f t="shared" si="4"/>
        <v>1080275348.92135</v>
      </c>
      <c r="R29" s="240">
        <f t="shared" si="4"/>
        <v>1103546469.4584501</v>
      </c>
      <c r="S29" s="240">
        <f t="shared" si="4"/>
        <v>391802886.21649998</v>
      </c>
      <c r="U29" s="237"/>
      <c r="V29" s="237"/>
    </row>
    <row r="30" spans="1:22" s="42" customFormat="1" ht="30.75" customHeight="1" x14ac:dyDescent="0.25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U30" s="237"/>
      <c r="V30" s="237"/>
    </row>
    <row r="31" spans="1:22" ht="15.75" thickBot="1" x14ac:dyDescent="0.3"/>
    <row r="32" spans="1:22" s="42" customFormat="1" ht="38.25" thickBot="1" x14ac:dyDescent="0.3">
      <c r="A32" s="50" t="s">
        <v>102</v>
      </c>
      <c r="B32" s="45">
        <f>Připravované!F32</f>
        <v>1617403123.5</v>
      </c>
      <c r="C32" s="45">
        <f>Připravované!G32</f>
        <v>1449525600</v>
      </c>
      <c r="D32" s="46">
        <f>Připravované!H32</f>
        <v>167877523.5</v>
      </c>
      <c r="E32" s="47">
        <f>Připravované!I32</f>
        <v>15626846.84</v>
      </c>
      <c r="F32" s="48">
        <f>Připravované!J32</f>
        <v>7186748</v>
      </c>
      <c r="G32" s="48">
        <f>Připravované!K32</f>
        <v>0</v>
      </c>
      <c r="H32" s="48">
        <f>Připravované!L32</f>
        <v>83129200</v>
      </c>
      <c r="I32" s="49">
        <f>Připravované!M32</f>
        <v>61934728.660000004</v>
      </c>
      <c r="J32" s="45">
        <f>K32+L32+M32+N32+O32</f>
        <v>1449525600</v>
      </c>
      <c r="K32" s="47">
        <f>Připravované!N32</f>
        <v>0</v>
      </c>
      <c r="L32" s="48">
        <f>Připravované!O32</f>
        <v>0</v>
      </c>
      <c r="M32" s="48">
        <f>Připravované!P32</f>
        <v>52650000</v>
      </c>
      <c r="N32" s="48">
        <f>Připravované!Q32</f>
        <v>701362800</v>
      </c>
      <c r="O32" s="49">
        <f>Připravované!R32</f>
        <v>695512800</v>
      </c>
      <c r="P32" s="49">
        <f>Připravované!S32</f>
        <v>0</v>
      </c>
      <c r="Q32" s="49">
        <f>Připravované!T32</f>
        <v>52650000</v>
      </c>
      <c r="R32" s="49">
        <f>Připravované!U32</f>
        <v>458095500</v>
      </c>
      <c r="S32" s="49">
        <f>Připravované!V32</f>
        <v>938780100</v>
      </c>
    </row>
    <row r="35" spans="1:17" ht="15.75" x14ac:dyDescent="0.25">
      <c r="A35" s="9" t="s">
        <v>43</v>
      </c>
      <c r="N35" s="74"/>
      <c r="Q35" s="92"/>
    </row>
    <row r="36" spans="1:17" x14ac:dyDescent="0.25">
      <c r="A36" s="410"/>
      <c r="B36" s="410"/>
      <c r="C36" s="410"/>
    </row>
    <row r="37" spans="1:17" ht="15.75" x14ac:dyDescent="0.25">
      <c r="A37" s="413" t="s">
        <v>50</v>
      </c>
      <c r="B37" s="413"/>
      <c r="C37" s="413"/>
    </row>
    <row r="38" spans="1:17" ht="15.75" x14ac:dyDescent="0.25">
      <c r="A38" s="411" t="s">
        <v>49</v>
      </c>
      <c r="B38" s="411"/>
      <c r="C38" s="411"/>
    </row>
    <row r="39" spans="1:17" ht="15.75" x14ac:dyDescent="0.25">
      <c r="A39" s="411" t="s">
        <v>48</v>
      </c>
      <c r="B39" s="411"/>
      <c r="C39" s="411"/>
    </row>
    <row r="40" spans="1:17" ht="15.75" x14ac:dyDescent="0.25">
      <c r="A40" s="413" t="s">
        <v>51</v>
      </c>
      <c r="B40" s="413"/>
      <c r="C40" s="413"/>
    </row>
    <row r="41" spans="1:17" x14ac:dyDescent="0.25">
      <c r="A41" s="414" t="s">
        <v>52</v>
      </c>
      <c r="B41" s="414"/>
      <c r="C41" s="414"/>
    </row>
    <row r="42" spans="1:17" x14ac:dyDescent="0.25">
      <c r="A42" s="10" t="s">
        <v>57</v>
      </c>
      <c r="B42" s="10"/>
      <c r="C42" s="10"/>
    </row>
    <row r="43" spans="1:17" ht="15.75" x14ac:dyDescent="0.25">
      <c r="A43" s="415" t="s">
        <v>53</v>
      </c>
      <c r="B43" s="415"/>
      <c r="C43" s="415"/>
    </row>
    <row r="44" spans="1:17" x14ac:dyDescent="0.25">
      <c r="A44" s="16"/>
      <c r="B44" s="16"/>
      <c r="C44" s="16"/>
    </row>
    <row r="45" spans="1:17" ht="15.75" x14ac:dyDescent="0.25">
      <c r="A45" s="415"/>
      <c r="B45" s="415"/>
      <c r="C45" s="415"/>
    </row>
    <row r="46" spans="1:17" ht="15.75" x14ac:dyDescent="0.25">
      <c r="A46" s="412"/>
      <c r="B46" s="412"/>
      <c r="C46" s="412"/>
    </row>
    <row r="47" spans="1:17" x14ac:dyDescent="0.25">
      <c r="A47" s="409"/>
      <c r="B47" s="409"/>
      <c r="C47" s="409"/>
    </row>
    <row r="48" spans="1:17" x14ac:dyDescent="0.25">
      <c r="A48" s="409"/>
      <c r="B48" s="409"/>
      <c r="C48" s="409"/>
    </row>
    <row r="49" spans="1:3" x14ac:dyDescent="0.25">
      <c r="A49" s="409"/>
      <c r="B49" s="409"/>
      <c r="C49" s="409"/>
    </row>
    <row r="50" spans="1:3" x14ac:dyDescent="0.25">
      <c r="A50" s="409"/>
      <c r="B50" s="409"/>
      <c r="C50" s="409"/>
    </row>
    <row r="51" spans="1:3" x14ac:dyDescent="0.25">
      <c r="A51" s="409"/>
      <c r="B51" s="409"/>
      <c r="C51" s="409"/>
    </row>
    <row r="52" spans="1:3" x14ac:dyDescent="0.25">
      <c r="A52" s="409"/>
      <c r="B52" s="409"/>
      <c r="C52" s="409"/>
    </row>
    <row r="53" spans="1:3" x14ac:dyDescent="0.25">
      <c r="A53" s="409"/>
      <c r="B53" s="409"/>
      <c r="C53" s="409"/>
    </row>
    <row r="54" spans="1:3" x14ac:dyDescent="0.25">
      <c r="A54" s="410"/>
      <c r="B54" s="410"/>
      <c r="C54" s="410"/>
    </row>
  </sheetData>
  <sheetProtection formatCells="0" formatColumns="0" formatRows="0" insertColumns="0" insertRows="0" insertHyperlinks="0" deleteColumns="0" deleteRows="0"/>
  <mergeCells count="29">
    <mergeCell ref="A21:O21"/>
    <mergeCell ref="A12:O12"/>
    <mergeCell ref="A51:C51"/>
    <mergeCell ref="A52:C52"/>
    <mergeCell ref="A36:C36"/>
    <mergeCell ref="A37:C37"/>
    <mergeCell ref="A28:S28"/>
    <mergeCell ref="A53:C53"/>
    <mergeCell ref="A54:C54"/>
    <mergeCell ref="A38:C38"/>
    <mergeCell ref="A39:C39"/>
    <mergeCell ref="A46:C46"/>
    <mergeCell ref="A47:C47"/>
    <mergeCell ref="A48:C48"/>
    <mergeCell ref="A49:C49"/>
    <mergeCell ref="A50:C50"/>
    <mergeCell ref="A40:C40"/>
    <mergeCell ref="A41:C41"/>
    <mergeCell ref="A45:C45"/>
    <mergeCell ref="A43:C43"/>
    <mergeCell ref="P3:S3"/>
    <mergeCell ref="E3:I3"/>
    <mergeCell ref="A3:A4"/>
    <mergeCell ref="K3:O3"/>
    <mergeCell ref="A1:O1"/>
    <mergeCell ref="B3:B4"/>
    <mergeCell ref="C3:C4"/>
    <mergeCell ref="D3:D4"/>
    <mergeCell ref="J3:J4"/>
  </mergeCells>
  <pageMargins left="0.35433070866141736" right="0.23622047244094491" top="0.59055118110236227" bottom="0.59055118110236227" header="0.31496062992125984" footer="0.31496062992125984"/>
  <pageSetup paperSize="8" scale="50" firstPageNumber="3" fitToHeight="0" orientation="landscape" useFirstPageNumber="1" r:id="rId1"/>
  <headerFooter>
    <oddFooter>&amp;L&amp;"Arial,Obyčejné"&amp;10Zastupitelstvo Olomouckého kraje 27. 2. 2017 
43. - Rozpočet Olomouckého kraje 2017 – nové investice
Příloha č. 1: Projekty Olomouckého kraje spolufinancované z evropských fondů &amp;R&amp;"Arial,Obyčejné"&amp;10Strana &amp;P (celkem 45)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69"/>
  <sheetViews>
    <sheetView view="pageBreakPreview" topLeftCell="I1" zoomScale="75" zoomScaleNormal="80" zoomScaleSheetLayoutView="75" workbookViewId="0">
      <pane ySplit="5" topLeftCell="A6" activePane="bottomLeft" state="frozen"/>
      <selection activeCell="B33" sqref="B33"/>
      <selection pane="bottomLeft" activeCell="B33" sqref="B33"/>
    </sheetView>
  </sheetViews>
  <sheetFormatPr defaultRowHeight="15" x14ac:dyDescent="0.25"/>
  <cols>
    <col min="1" max="1" width="7" style="99" customWidth="1"/>
    <col min="2" max="2" width="34" style="100" customWidth="1"/>
    <col min="3" max="3" width="10" style="99" customWidth="1"/>
    <col min="4" max="4" width="9.7109375" style="99" customWidth="1"/>
    <col min="5" max="5" width="13.42578125" style="105" customWidth="1"/>
    <col min="6" max="6" width="18.7109375" style="100" customWidth="1"/>
    <col min="7" max="7" width="19" style="100" customWidth="1"/>
    <col min="8" max="10" width="17.42578125" style="100" customWidth="1"/>
    <col min="11" max="11" width="17.42578125" style="102" customWidth="1"/>
    <col min="12" max="13" width="17.42578125" style="100" customWidth="1"/>
    <col min="14" max="14" width="15.42578125" style="103" customWidth="1"/>
    <col min="15" max="15" width="18" style="104" customWidth="1"/>
    <col min="16" max="16" width="17.5703125" style="103" customWidth="1"/>
    <col min="17" max="17" width="17.7109375" style="103" customWidth="1"/>
    <col min="18" max="18" width="18.5703125" style="103" customWidth="1"/>
    <col min="19" max="19" width="18" style="104" customWidth="1"/>
    <col min="20" max="20" width="17.5703125" style="103" customWidth="1"/>
    <col min="21" max="21" width="17.7109375" style="103" customWidth="1"/>
    <col min="22" max="22" width="18.5703125" style="103" customWidth="1"/>
    <col min="23" max="23" width="9.140625" style="100"/>
    <col min="24" max="24" width="15.42578125" style="100" bestFit="1" customWidth="1"/>
    <col min="25" max="16384" width="9.140625" style="100"/>
  </cols>
  <sheetData>
    <row r="1" spans="1:24" ht="15.75" x14ac:dyDescent="0.25">
      <c r="B1" s="440" t="s">
        <v>12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264"/>
      <c r="T1" s="264"/>
      <c r="U1" s="264"/>
      <c r="V1" s="264"/>
    </row>
    <row r="2" spans="1:24" x14ac:dyDescent="0.25">
      <c r="E2" s="101"/>
      <c r="V2" s="103" t="s">
        <v>10</v>
      </c>
    </row>
    <row r="3" spans="1:24" ht="15.75" thickBot="1" x14ac:dyDescent="0.3"/>
    <row r="4" spans="1:24" s="255" customFormat="1" ht="15" customHeight="1" x14ac:dyDescent="0.25">
      <c r="A4" s="441" t="s">
        <v>160</v>
      </c>
      <c r="B4" s="443" t="s">
        <v>0</v>
      </c>
      <c r="C4" s="445" t="s">
        <v>17</v>
      </c>
      <c r="D4" s="447" t="s">
        <v>44</v>
      </c>
      <c r="E4" s="447" t="s">
        <v>3</v>
      </c>
      <c r="F4" s="449" t="s">
        <v>1</v>
      </c>
      <c r="G4" s="447" t="s">
        <v>9</v>
      </c>
      <c r="H4" s="451" t="s">
        <v>2</v>
      </c>
      <c r="I4" s="441" t="s">
        <v>116</v>
      </c>
      <c r="J4" s="429"/>
      <c r="K4" s="429"/>
      <c r="L4" s="429"/>
      <c r="M4" s="430"/>
      <c r="N4" s="429" t="s">
        <v>112</v>
      </c>
      <c r="O4" s="429"/>
      <c r="P4" s="429"/>
      <c r="Q4" s="429"/>
      <c r="R4" s="430"/>
      <c r="S4" s="429" t="s">
        <v>113</v>
      </c>
      <c r="T4" s="429"/>
      <c r="U4" s="429"/>
      <c r="V4" s="430"/>
    </row>
    <row r="5" spans="1:24" s="255" customFormat="1" ht="42.75" customHeight="1" thickBot="1" x14ac:dyDescent="0.3">
      <c r="A5" s="442"/>
      <c r="B5" s="444"/>
      <c r="C5" s="446"/>
      <c r="D5" s="448"/>
      <c r="E5" s="448"/>
      <c r="F5" s="450"/>
      <c r="G5" s="448"/>
      <c r="H5" s="452"/>
      <c r="I5" s="262">
        <v>2016</v>
      </c>
      <c r="J5" s="261">
        <v>2017</v>
      </c>
      <c r="K5" s="261">
        <v>2018</v>
      </c>
      <c r="L5" s="263">
        <v>2019</v>
      </c>
      <c r="M5" s="106">
        <v>2020</v>
      </c>
      <c r="N5" s="260">
        <v>2016</v>
      </c>
      <c r="O5" s="260">
        <v>2017</v>
      </c>
      <c r="P5" s="261">
        <v>2018</v>
      </c>
      <c r="Q5" s="261">
        <v>2019</v>
      </c>
      <c r="R5" s="263">
        <v>2020</v>
      </c>
      <c r="S5" s="260">
        <v>2017</v>
      </c>
      <c r="T5" s="261">
        <v>2018</v>
      </c>
      <c r="U5" s="261">
        <v>2019</v>
      </c>
      <c r="V5" s="263">
        <v>2020</v>
      </c>
    </row>
    <row r="6" spans="1:24" s="255" customFormat="1" ht="24.75" customHeight="1" thickBot="1" x14ac:dyDescent="0.3">
      <c r="A6" s="425" t="s">
        <v>98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7"/>
      <c r="S6" s="256"/>
      <c r="T6" s="257"/>
      <c r="U6" s="257"/>
      <c r="V6" s="257"/>
    </row>
    <row r="7" spans="1:24" s="255" customFormat="1" ht="30" x14ac:dyDescent="0.25">
      <c r="A7" s="51">
        <v>1</v>
      </c>
      <c r="B7" s="43" t="s">
        <v>183</v>
      </c>
      <c r="C7" s="14" t="s">
        <v>35</v>
      </c>
      <c r="D7" s="14" t="s">
        <v>40</v>
      </c>
      <c r="E7" s="15" t="s">
        <v>25</v>
      </c>
      <c r="F7" s="11">
        <v>175000000</v>
      </c>
      <c r="G7" s="12">
        <v>153000000</v>
      </c>
      <c r="H7" s="59">
        <v>22000000</v>
      </c>
      <c r="I7" s="11">
        <v>0</v>
      </c>
      <c r="J7" s="12">
        <v>11000000</v>
      </c>
      <c r="K7" s="12">
        <v>11000000</v>
      </c>
      <c r="L7" s="12">
        <v>0</v>
      </c>
      <c r="M7" s="59">
        <v>0</v>
      </c>
      <c r="N7" s="11">
        <v>0</v>
      </c>
      <c r="O7" s="12">
        <v>72250000</v>
      </c>
      <c r="P7" s="12">
        <v>72250000</v>
      </c>
      <c r="Q7" s="12">
        <v>0</v>
      </c>
      <c r="R7" s="13">
        <v>0</v>
      </c>
      <c r="S7" s="12">
        <v>72250000</v>
      </c>
      <c r="T7" s="12">
        <f>O7</f>
        <v>72250000</v>
      </c>
      <c r="U7" s="12">
        <v>0</v>
      </c>
      <c r="V7" s="13">
        <f>Q7</f>
        <v>0</v>
      </c>
    </row>
    <row r="8" spans="1:24" s="255" customFormat="1" ht="45" x14ac:dyDescent="0.25">
      <c r="A8" s="51">
        <v>2</v>
      </c>
      <c r="B8" s="43" t="s">
        <v>184</v>
      </c>
      <c r="C8" s="14" t="s">
        <v>35</v>
      </c>
      <c r="D8" s="14" t="s">
        <v>40</v>
      </c>
      <c r="E8" s="15">
        <v>2018</v>
      </c>
      <c r="F8" s="11">
        <v>181900000</v>
      </c>
      <c r="G8" s="12">
        <v>162000000</v>
      </c>
      <c r="H8" s="59">
        <f>F8-G8</f>
        <v>19900000</v>
      </c>
      <c r="I8" s="11">
        <v>0</v>
      </c>
      <c r="J8" s="12">
        <v>0</v>
      </c>
      <c r="K8" s="12">
        <v>19900000</v>
      </c>
      <c r="L8" s="12">
        <v>0</v>
      </c>
      <c r="M8" s="59">
        <v>0</v>
      </c>
      <c r="N8" s="11">
        <v>0</v>
      </c>
      <c r="O8" s="12">
        <v>0</v>
      </c>
      <c r="P8" s="12">
        <v>153000000</v>
      </c>
      <c r="Q8" s="12">
        <v>0</v>
      </c>
      <c r="R8" s="13">
        <v>0</v>
      </c>
      <c r="S8" s="12">
        <v>0</v>
      </c>
      <c r="T8" s="12">
        <v>0</v>
      </c>
      <c r="U8" s="12">
        <f>P8</f>
        <v>153000000</v>
      </c>
      <c r="V8" s="13">
        <v>0</v>
      </c>
    </row>
    <row r="9" spans="1:24" s="255" customFormat="1" ht="30" x14ac:dyDescent="0.25">
      <c r="A9" s="51">
        <v>3</v>
      </c>
      <c r="B9" s="107" t="s">
        <v>169</v>
      </c>
      <c r="C9" s="14" t="s">
        <v>35</v>
      </c>
      <c r="D9" s="14" t="s">
        <v>40</v>
      </c>
      <c r="E9" s="77">
        <v>2018</v>
      </c>
      <c r="F9" s="11">
        <v>35000000</v>
      </c>
      <c r="G9" s="12">
        <f>F9*0.9</f>
        <v>31500000</v>
      </c>
      <c r="H9" s="13">
        <f>F9-G9</f>
        <v>3500000</v>
      </c>
      <c r="I9" s="11">
        <v>0</v>
      </c>
      <c r="J9" s="12">
        <v>0</v>
      </c>
      <c r="K9" s="12">
        <f>H9</f>
        <v>3500000</v>
      </c>
      <c r="L9" s="12">
        <v>0</v>
      </c>
      <c r="M9" s="13">
        <v>0</v>
      </c>
      <c r="N9" s="11">
        <v>0</v>
      </c>
      <c r="O9" s="12">
        <v>0</v>
      </c>
      <c r="P9" s="12">
        <f>G9</f>
        <v>31500000</v>
      </c>
      <c r="Q9" s="59">
        <v>0</v>
      </c>
      <c r="R9" s="13">
        <v>0</v>
      </c>
      <c r="S9" s="12">
        <v>0</v>
      </c>
      <c r="T9" s="12">
        <f>L9</f>
        <v>0</v>
      </c>
      <c r="U9" s="59">
        <f>P9</f>
        <v>31500000</v>
      </c>
      <c r="V9" s="13">
        <v>0</v>
      </c>
    </row>
    <row r="10" spans="1:24" s="255" customFormat="1" ht="19.149999999999999" customHeight="1" x14ac:dyDescent="0.25">
      <c r="A10" s="51">
        <v>4</v>
      </c>
      <c r="B10" s="107" t="s">
        <v>83</v>
      </c>
      <c r="C10" s="14" t="s">
        <v>21</v>
      </c>
      <c r="D10" s="14" t="s">
        <v>80</v>
      </c>
      <c r="E10" s="77" t="s">
        <v>36</v>
      </c>
      <c r="F10" s="11">
        <f>SUM(G10:H10)</f>
        <v>196210134</v>
      </c>
      <c r="G10" s="12">
        <f>SUM(N10:R10)</f>
        <v>175320000</v>
      </c>
      <c r="H10" s="13">
        <f>SUM(I10:M10)</f>
        <v>20890134</v>
      </c>
      <c r="I10" s="11">
        <v>272734</v>
      </c>
      <c r="J10" s="12">
        <v>1137400</v>
      </c>
      <c r="K10" s="12">
        <v>6493300</v>
      </c>
      <c r="L10" s="12">
        <v>12986700</v>
      </c>
      <c r="M10" s="13">
        <v>0</v>
      </c>
      <c r="N10" s="11">
        <v>0</v>
      </c>
      <c r="O10" s="12">
        <v>0</v>
      </c>
      <c r="P10" s="12">
        <v>58440000</v>
      </c>
      <c r="Q10" s="59">
        <v>116880000</v>
      </c>
      <c r="R10" s="13">
        <v>0</v>
      </c>
      <c r="S10" s="12">
        <v>0</v>
      </c>
      <c r="T10" s="136">
        <f>P10*0.5</f>
        <v>29220000</v>
      </c>
      <c r="U10" s="254">
        <f>((Q10/8)*5)+(P10*0.5)</f>
        <v>102270000</v>
      </c>
      <c r="V10" s="253">
        <f>G10-T10-U10</f>
        <v>43830000</v>
      </c>
      <c r="X10" s="265"/>
    </row>
    <row r="11" spans="1:24" s="255" customFormat="1" ht="30" x14ac:dyDescent="0.25">
      <c r="A11" s="51">
        <v>5</v>
      </c>
      <c r="B11" s="111" t="s">
        <v>30</v>
      </c>
      <c r="C11" s="112" t="s">
        <v>7</v>
      </c>
      <c r="D11" s="112" t="s">
        <v>40</v>
      </c>
      <c r="E11" s="113" t="s">
        <v>37</v>
      </c>
      <c r="F11" s="114">
        <v>60000000</v>
      </c>
      <c r="G11" s="115">
        <f>SUM(N11:R11)</f>
        <v>51000000</v>
      </c>
      <c r="H11" s="116">
        <f>SUM(I11:M11)</f>
        <v>9000000</v>
      </c>
      <c r="I11" s="114">
        <v>0</v>
      </c>
      <c r="J11" s="115">
        <v>1500000</v>
      </c>
      <c r="K11" s="115">
        <v>3750000</v>
      </c>
      <c r="L11" s="115">
        <v>3750000</v>
      </c>
      <c r="M11" s="116">
        <v>0</v>
      </c>
      <c r="N11" s="114">
        <v>0</v>
      </c>
      <c r="O11" s="115">
        <v>8500000</v>
      </c>
      <c r="P11" s="115">
        <v>21250000</v>
      </c>
      <c r="Q11" s="115">
        <v>21250000</v>
      </c>
      <c r="R11" s="116">
        <v>0</v>
      </c>
      <c r="S11" s="115">
        <v>0</v>
      </c>
      <c r="T11" s="115">
        <f>O11</f>
        <v>8500000</v>
      </c>
      <c r="U11" s="115">
        <f>P11</f>
        <v>21250000</v>
      </c>
      <c r="V11" s="116">
        <f>Q11</f>
        <v>21250000</v>
      </c>
    </row>
    <row r="12" spans="1:24" s="266" customFormat="1" ht="30" customHeight="1" x14ac:dyDescent="0.25">
      <c r="A12" s="51">
        <v>6</v>
      </c>
      <c r="B12" s="250" t="s">
        <v>185</v>
      </c>
      <c r="C12" s="251" t="s">
        <v>21</v>
      </c>
      <c r="D12" s="251" t="s">
        <v>40</v>
      </c>
      <c r="E12" s="132">
        <v>2019</v>
      </c>
      <c r="F12" s="252">
        <v>30336000</v>
      </c>
      <c r="G12" s="136">
        <f>SUM(N12:R12)</f>
        <v>25785600</v>
      </c>
      <c r="H12" s="253">
        <f>SUM(I12:M12)</f>
        <v>4550400</v>
      </c>
      <c r="I12" s="252">
        <v>0</v>
      </c>
      <c r="J12" s="136">
        <v>0</v>
      </c>
      <c r="K12" s="136">
        <v>0</v>
      </c>
      <c r="L12" s="136">
        <v>4550400</v>
      </c>
      <c r="M12" s="253">
        <v>0</v>
      </c>
      <c r="N12" s="252">
        <v>0</v>
      </c>
      <c r="O12" s="136">
        <v>0</v>
      </c>
      <c r="P12" s="136">
        <v>0</v>
      </c>
      <c r="Q12" s="254">
        <v>25785600</v>
      </c>
      <c r="R12" s="253">
        <v>0</v>
      </c>
      <c r="S12" s="252">
        <v>0</v>
      </c>
      <c r="T12" s="136">
        <v>0</v>
      </c>
      <c r="U12" s="254">
        <f>(Q12/8)*5</f>
        <v>16116000</v>
      </c>
      <c r="V12" s="253">
        <f>Q12-U12</f>
        <v>9669600</v>
      </c>
    </row>
    <row r="13" spans="1:24" s="255" customFormat="1" ht="45" x14ac:dyDescent="0.25">
      <c r="A13" s="51">
        <v>7</v>
      </c>
      <c r="B13" s="107" t="s">
        <v>170</v>
      </c>
      <c r="C13" s="14" t="s">
        <v>35</v>
      </c>
      <c r="D13" s="14" t="s">
        <v>40</v>
      </c>
      <c r="E13" s="77">
        <v>2018</v>
      </c>
      <c r="F13" s="11">
        <v>134000000</v>
      </c>
      <c r="G13" s="12">
        <f>F13*0.9</f>
        <v>120600000</v>
      </c>
      <c r="H13" s="13">
        <f>F13-G13</f>
        <v>13400000</v>
      </c>
      <c r="I13" s="11">
        <v>0</v>
      </c>
      <c r="J13" s="12">
        <v>0</v>
      </c>
      <c r="K13" s="12">
        <f>H13</f>
        <v>13400000</v>
      </c>
      <c r="L13" s="12">
        <v>0</v>
      </c>
      <c r="M13" s="13">
        <v>0</v>
      </c>
      <c r="N13" s="11">
        <v>0</v>
      </c>
      <c r="O13" s="12">
        <v>0</v>
      </c>
      <c r="P13" s="12">
        <f>G13</f>
        <v>120600000</v>
      </c>
      <c r="Q13" s="59">
        <v>0</v>
      </c>
      <c r="R13" s="13">
        <v>0</v>
      </c>
      <c r="S13" s="12">
        <v>0</v>
      </c>
      <c r="T13" s="12">
        <f>L13</f>
        <v>0</v>
      </c>
      <c r="U13" s="59">
        <f>P13</f>
        <v>120600000</v>
      </c>
      <c r="V13" s="13">
        <v>0</v>
      </c>
    </row>
    <row r="14" spans="1:24" s="255" customFormat="1" ht="45" x14ac:dyDescent="0.25">
      <c r="A14" s="51">
        <v>8</v>
      </c>
      <c r="B14" s="107" t="s">
        <v>168</v>
      </c>
      <c r="C14" s="14" t="s">
        <v>35</v>
      </c>
      <c r="D14" s="14" t="s">
        <v>40</v>
      </c>
      <c r="E14" s="77" t="s">
        <v>74</v>
      </c>
      <c r="F14" s="11">
        <v>72500000</v>
      </c>
      <c r="G14" s="12">
        <f>F14*0.9</f>
        <v>65250000</v>
      </c>
      <c r="H14" s="13">
        <f>F14-G14</f>
        <v>7250000</v>
      </c>
      <c r="I14" s="11">
        <v>0</v>
      </c>
      <c r="J14" s="12">
        <v>0</v>
      </c>
      <c r="K14" s="12">
        <v>0</v>
      </c>
      <c r="L14" s="12">
        <f>H14</f>
        <v>7250000</v>
      </c>
      <c r="M14" s="13">
        <v>0</v>
      </c>
      <c r="N14" s="11">
        <v>0</v>
      </c>
      <c r="O14" s="12">
        <v>0</v>
      </c>
      <c r="P14" s="12">
        <v>0</v>
      </c>
      <c r="Q14" s="59">
        <v>0</v>
      </c>
      <c r="R14" s="13">
        <f>G14</f>
        <v>65250000</v>
      </c>
      <c r="S14" s="12">
        <v>0</v>
      </c>
      <c r="T14" s="12">
        <v>0</v>
      </c>
      <c r="U14" s="59">
        <v>0</v>
      </c>
      <c r="V14" s="13">
        <f>R14</f>
        <v>65250000</v>
      </c>
    </row>
    <row r="15" spans="1:24" s="255" customFormat="1" ht="30" x14ac:dyDescent="0.25">
      <c r="A15" s="51">
        <v>9</v>
      </c>
      <c r="B15" s="107" t="s">
        <v>167</v>
      </c>
      <c r="C15" s="14" t="s">
        <v>35</v>
      </c>
      <c r="D15" s="14" t="s">
        <v>40</v>
      </c>
      <c r="E15" s="77">
        <v>2018</v>
      </c>
      <c r="F15" s="11">
        <v>42000000</v>
      </c>
      <c r="G15" s="12">
        <f>F15*0.9</f>
        <v>37800000</v>
      </c>
      <c r="H15" s="13">
        <f>F15-G15</f>
        <v>4200000</v>
      </c>
      <c r="I15" s="11">
        <v>0</v>
      </c>
      <c r="J15" s="12">
        <v>0</v>
      </c>
      <c r="K15" s="12">
        <f>H15</f>
        <v>4200000</v>
      </c>
      <c r="L15" s="12">
        <v>0</v>
      </c>
      <c r="M15" s="13">
        <v>0</v>
      </c>
      <c r="N15" s="11">
        <v>0</v>
      </c>
      <c r="O15" s="12">
        <v>0</v>
      </c>
      <c r="P15" s="12">
        <f>G15</f>
        <v>37800000</v>
      </c>
      <c r="Q15" s="59">
        <v>0</v>
      </c>
      <c r="R15" s="13">
        <v>0</v>
      </c>
      <c r="S15" s="108">
        <v>0</v>
      </c>
      <c r="T15" s="108">
        <f>L15</f>
        <v>0</v>
      </c>
      <c r="U15" s="109">
        <f>P15</f>
        <v>37800000</v>
      </c>
      <c r="V15" s="110">
        <v>0</v>
      </c>
    </row>
    <row r="16" spans="1:24" s="255" customFormat="1" ht="30" x14ac:dyDescent="0.25">
      <c r="A16" s="51">
        <v>10</v>
      </c>
      <c r="B16" s="111" t="s">
        <v>166</v>
      </c>
      <c r="C16" s="112" t="s">
        <v>35</v>
      </c>
      <c r="D16" s="112" t="s">
        <v>40</v>
      </c>
      <c r="E16" s="113" t="s">
        <v>74</v>
      </c>
      <c r="F16" s="114">
        <v>130000000</v>
      </c>
      <c r="G16" s="115">
        <f t="shared" ref="G16" si="0">F16*0.4</f>
        <v>52000000</v>
      </c>
      <c r="H16" s="116">
        <f t="shared" ref="H16" si="1">F16-G16</f>
        <v>78000000</v>
      </c>
      <c r="I16" s="11">
        <v>0</v>
      </c>
      <c r="J16" s="12">
        <v>0</v>
      </c>
      <c r="K16" s="12">
        <v>0</v>
      </c>
      <c r="L16" s="12">
        <f t="shared" ref="L16" si="2">H16</f>
        <v>78000000</v>
      </c>
      <c r="M16" s="13">
        <v>0</v>
      </c>
      <c r="N16" s="11">
        <v>0</v>
      </c>
      <c r="O16" s="12">
        <v>0</v>
      </c>
      <c r="P16" s="12">
        <v>0</v>
      </c>
      <c r="Q16" s="59">
        <v>0</v>
      </c>
      <c r="R16" s="13">
        <f t="shared" ref="R16" si="3">G16</f>
        <v>52000000</v>
      </c>
      <c r="S16" s="12">
        <v>0</v>
      </c>
      <c r="T16" s="12">
        <v>0</v>
      </c>
      <c r="U16" s="59">
        <v>0</v>
      </c>
      <c r="V16" s="13">
        <f>R16</f>
        <v>52000000</v>
      </c>
    </row>
    <row r="17" spans="1:42" s="255" customFormat="1" ht="36" customHeight="1" x14ac:dyDescent="0.25">
      <c r="A17" s="51">
        <v>11</v>
      </c>
      <c r="B17" s="107" t="s">
        <v>78</v>
      </c>
      <c r="C17" s="14" t="s">
        <v>21</v>
      </c>
      <c r="D17" s="14" t="s">
        <v>45</v>
      </c>
      <c r="E17" s="77" t="s">
        <v>36</v>
      </c>
      <c r="F17" s="11">
        <f>SUM(G17:H17)</f>
        <v>84773755</v>
      </c>
      <c r="G17" s="12">
        <f>SUM(N17:R17)</f>
        <v>75600000</v>
      </c>
      <c r="H17" s="13">
        <f>SUM(I17:M17)</f>
        <v>9173755</v>
      </c>
      <c r="I17" s="11">
        <v>713295</v>
      </c>
      <c r="J17" s="12">
        <v>0</v>
      </c>
      <c r="K17" s="12">
        <f>2100000+60460</f>
        <v>2160460</v>
      </c>
      <c r="L17" s="12">
        <v>6300000</v>
      </c>
      <c r="M17" s="13">
        <v>0</v>
      </c>
      <c r="N17" s="11">
        <v>0</v>
      </c>
      <c r="O17" s="12">
        <v>0</v>
      </c>
      <c r="P17" s="12">
        <v>18900000</v>
      </c>
      <c r="Q17" s="12">
        <v>56700000</v>
      </c>
      <c r="R17" s="13">
        <v>0</v>
      </c>
      <c r="S17" s="12">
        <v>0</v>
      </c>
      <c r="T17" s="136">
        <f>P17*0.7</f>
        <v>13230000</v>
      </c>
      <c r="U17" s="254">
        <f>G17-T17</f>
        <v>62370000</v>
      </c>
      <c r="V17" s="253">
        <v>0</v>
      </c>
    </row>
    <row r="18" spans="1:42" s="255" customFormat="1" ht="23.25" customHeight="1" x14ac:dyDescent="0.25">
      <c r="A18" s="51">
        <v>12</v>
      </c>
      <c r="B18" s="107" t="s">
        <v>76</v>
      </c>
      <c r="C18" s="14" t="s">
        <v>21</v>
      </c>
      <c r="D18" s="14" t="s">
        <v>80</v>
      </c>
      <c r="E18" s="77">
        <v>2018</v>
      </c>
      <c r="F18" s="11">
        <f>SUM(G18:H18)</f>
        <v>166474523</v>
      </c>
      <c r="G18" s="12">
        <f>SUM(N18:R18)</f>
        <v>147600000</v>
      </c>
      <c r="H18" s="13">
        <f>SUM(I18:M18)</f>
        <v>18874523</v>
      </c>
      <c r="I18" s="11">
        <v>1447523</v>
      </c>
      <c r="J18" s="12">
        <v>1027000</v>
      </c>
      <c r="K18" s="12">
        <v>16400000</v>
      </c>
      <c r="L18" s="12">
        <v>0</v>
      </c>
      <c r="M18" s="13">
        <v>0</v>
      </c>
      <c r="N18" s="11">
        <v>0</v>
      </c>
      <c r="O18" s="12">
        <v>0</v>
      </c>
      <c r="P18" s="12">
        <v>147600000</v>
      </c>
      <c r="Q18" s="59">
        <v>0</v>
      </c>
      <c r="R18" s="13">
        <v>0</v>
      </c>
      <c r="S18" s="12">
        <v>0</v>
      </c>
      <c r="T18" s="12">
        <f>(P18/8)*5</f>
        <v>92250000</v>
      </c>
      <c r="U18" s="59">
        <f>P18-T18</f>
        <v>55350000</v>
      </c>
      <c r="V18" s="13">
        <v>0</v>
      </c>
    </row>
    <row r="19" spans="1:42" s="255" customFormat="1" ht="24" customHeight="1" thickBot="1" x14ac:dyDescent="0.3">
      <c r="A19" s="167">
        <v>13</v>
      </c>
      <c r="B19" s="172" t="s">
        <v>77</v>
      </c>
      <c r="C19" s="97" t="s">
        <v>21</v>
      </c>
      <c r="D19" s="97" t="s">
        <v>40</v>
      </c>
      <c r="E19" s="173">
        <v>2019</v>
      </c>
      <c r="F19" s="117">
        <f>SUM(G19:H19)</f>
        <v>179134591.25</v>
      </c>
      <c r="G19" s="118">
        <f>SUM(N19:R19)</f>
        <v>159300000</v>
      </c>
      <c r="H19" s="119">
        <f>SUM(I19:M19)</f>
        <v>19834591.25</v>
      </c>
      <c r="I19" s="117">
        <v>332901.25</v>
      </c>
      <c r="J19" s="118">
        <v>1801690</v>
      </c>
      <c r="K19" s="118">
        <v>0</v>
      </c>
      <c r="L19" s="118">
        <v>17700000</v>
      </c>
      <c r="M19" s="119">
        <v>0</v>
      </c>
      <c r="N19" s="117">
        <v>0</v>
      </c>
      <c r="O19" s="118">
        <v>0</v>
      </c>
      <c r="P19" s="118">
        <v>0</v>
      </c>
      <c r="Q19" s="163">
        <v>159300000</v>
      </c>
      <c r="R19" s="119">
        <v>0</v>
      </c>
      <c r="S19" s="118">
        <v>0</v>
      </c>
      <c r="T19" s="118">
        <v>0</v>
      </c>
      <c r="U19" s="163">
        <f>(Q19/8)*5</f>
        <v>99562500</v>
      </c>
      <c r="V19" s="119">
        <f>Q19-U19</f>
        <v>59737500</v>
      </c>
    </row>
    <row r="20" spans="1:42" s="267" customFormat="1" ht="15.75" thickBot="1" x14ac:dyDescent="0.3">
      <c r="A20" s="437" t="s">
        <v>16</v>
      </c>
      <c r="B20" s="438"/>
      <c r="C20" s="438"/>
      <c r="D20" s="438"/>
      <c r="E20" s="439"/>
      <c r="F20" s="120">
        <f>SUM(F7:F19)</f>
        <v>1487329003.25</v>
      </c>
      <c r="G20" s="120">
        <f t="shared" ref="G20:V20" si="4">SUM(G7:G19)</f>
        <v>1256755600</v>
      </c>
      <c r="H20" s="120">
        <f t="shared" si="4"/>
        <v>230573403.25</v>
      </c>
      <c r="I20" s="120">
        <f t="shared" si="4"/>
        <v>2766453.25</v>
      </c>
      <c r="J20" s="120">
        <f t="shared" si="4"/>
        <v>16466090</v>
      </c>
      <c r="K20" s="120">
        <f t="shared" si="4"/>
        <v>80803760</v>
      </c>
      <c r="L20" s="120">
        <f t="shared" si="4"/>
        <v>130537100</v>
      </c>
      <c r="M20" s="120">
        <f t="shared" si="4"/>
        <v>0</v>
      </c>
      <c r="N20" s="120">
        <f t="shared" si="4"/>
        <v>0</v>
      </c>
      <c r="O20" s="120">
        <f t="shared" si="4"/>
        <v>80750000</v>
      </c>
      <c r="P20" s="120">
        <f t="shared" si="4"/>
        <v>661340000</v>
      </c>
      <c r="Q20" s="120">
        <f t="shared" si="4"/>
        <v>379915600</v>
      </c>
      <c r="R20" s="120">
        <f t="shared" si="4"/>
        <v>117250000</v>
      </c>
      <c r="S20" s="120">
        <f t="shared" si="4"/>
        <v>72250000</v>
      </c>
      <c r="T20" s="120">
        <f t="shared" si="4"/>
        <v>215450000</v>
      </c>
      <c r="U20" s="120">
        <f t="shared" si="4"/>
        <v>699818500</v>
      </c>
      <c r="V20" s="120">
        <f t="shared" si="4"/>
        <v>251737100</v>
      </c>
    </row>
    <row r="21" spans="1:42" s="268" customFormat="1" ht="15.75" thickBot="1" x14ac:dyDescent="0.3">
      <c r="A21" s="256"/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</row>
    <row r="22" spans="1:42" s="255" customFormat="1" ht="19.5" customHeight="1" thickBot="1" x14ac:dyDescent="0.3">
      <c r="A22" s="425" t="s">
        <v>101</v>
      </c>
      <c r="B22" s="426"/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7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</row>
    <row r="23" spans="1:42" s="255" customFormat="1" ht="21.75" customHeight="1" x14ac:dyDescent="0.25">
      <c r="A23" s="170">
        <v>14</v>
      </c>
      <c r="B23" s="111" t="s">
        <v>79</v>
      </c>
      <c r="C23" s="112" t="s">
        <v>21</v>
      </c>
      <c r="D23" s="112" t="s">
        <v>80</v>
      </c>
      <c r="E23" s="113" t="s">
        <v>74</v>
      </c>
      <c r="F23" s="114">
        <f>SUM(G23:H23)</f>
        <v>407230000</v>
      </c>
      <c r="G23" s="115">
        <f>SUM(N23:R23)</f>
        <v>366507000</v>
      </c>
      <c r="H23" s="116">
        <f>SUM(I23:M23)</f>
        <v>40723000</v>
      </c>
      <c r="I23" s="114">
        <v>9302458.5399999991</v>
      </c>
      <c r="J23" s="115">
        <v>477002</v>
      </c>
      <c r="K23" s="115">
        <v>0</v>
      </c>
      <c r="L23" s="115">
        <v>20361500</v>
      </c>
      <c r="M23" s="116">
        <f>20361500-I23-J23</f>
        <v>10582039.460000001</v>
      </c>
      <c r="N23" s="114">
        <v>0</v>
      </c>
      <c r="O23" s="115">
        <v>0</v>
      </c>
      <c r="P23" s="115">
        <v>0</v>
      </c>
      <c r="Q23" s="121">
        <v>183253500</v>
      </c>
      <c r="R23" s="116">
        <v>183253500</v>
      </c>
      <c r="S23" s="115">
        <v>0</v>
      </c>
      <c r="T23" s="115">
        <v>0</v>
      </c>
      <c r="U23" s="109">
        <f>(Q23/8)*5</f>
        <v>114533437.5</v>
      </c>
      <c r="V23" s="110">
        <f>Q23+R23-U23</f>
        <v>251973562.5</v>
      </c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</row>
    <row r="24" spans="1:42" s="255" customFormat="1" ht="22.5" customHeight="1" x14ac:dyDescent="0.25">
      <c r="A24" s="170">
        <v>15</v>
      </c>
      <c r="B24" s="111" t="s">
        <v>162</v>
      </c>
      <c r="C24" s="112" t="s">
        <v>21</v>
      </c>
      <c r="D24" s="112" t="s">
        <v>45</v>
      </c>
      <c r="E24" s="113" t="s">
        <v>74</v>
      </c>
      <c r="F24" s="114">
        <v>117000000</v>
      </c>
      <c r="G24" s="115">
        <f>F24*0.9</f>
        <v>105300000</v>
      </c>
      <c r="H24" s="116">
        <f>F24-G24</f>
        <v>11700000</v>
      </c>
      <c r="I24" s="114">
        <v>0</v>
      </c>
      <c r="J24" s="115">
        <v>0</v>
      </c>
      <c r="K24" s="115">
        <v>0</v>
      </c>
      <c r="L24" s="115">
        <v>5850000</v>
      </c>
      <c r="M24" s="115">
        <v>5850000</v>
      </c>
      <c r="N24" s="114">
        <v>0</v>
      </c>
      <c r="O24" s="115">
        <v>0</v>
      </c>
      <c r="P24" s="115">
        <v>52650000</v>
      </c>
      <c r="Q24" s="121">
        <v>52650000</v>
      </c>
      <c r="R24" s="116">
        <v>0</v>
      </c>
      <c r="S24" s="115">
        <v>0</v>
      </c>
      <c r="T24" s="115">
        <v>52650000</v>
      </c>
      <c r="U24" s="121">
        <v>52650000</v>
      </c>
      <c r="V24" s="110">
        <v>0</v>
      </c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</row>
    <row r="25" spans="1:42" s="255" customFormat="1" ht="30" x14ac:dyDescent="0.25">
      <c r="A25" s="51">
        <v>16</v>
      </c>
      <c r="B25" s="107" t="s">
        <v>81</v>
      </c>
      <c r="C25" s="14" t="s">
        <v>21</v>
      </c>
      <c r="D25" s="14" t="s">
        <v>80</v>
      </c>
      <c r="E25" s="77" t="s">
        <v>74</v>
      </c>
      <c r="F25" s="11">
        <f>SUM(G25:H25)</f>
        <v>0</v>
      </c>
      <c r="G25" s="12">
        <f>SUM(N25:R25)</f>
        <v>0</v>
      </c>
      <c r="H25" s="13">
        <f>SUM(I25:M25)</f>
        <v>0</v>
      </c>
      <c r="I25" s="11">
        <v>0</v>
      </c>
      <c r="J25" s="12">
        <v>0</v>
      </c>
      <c r="K25" s="12">
        <v>0</v>
      </c>
      <c r="L25" s="12">
        <v>0</v>
      </c>
      <c r="M25" s="13">
        <v>0</v>
      </c>
      <c r="N25" s="11">
        <v>0</v>
      </c>
      <c r="O25" s="12">
        <v>0</v>
      </c>
      <c r="P25" s="12">
        <v>0</v>
      </c>
      <c r="Q25" s="12">
        <v>0</v>
      </c>
      <c r="R25" s="13">
        <v>0</v>
      </c>
      <c r="S25" s="12">
        <v>0</v>
      </c>
      <c r="T25" s="12">
        <v>0</v>
      </c>
      <c r="U25" s="12">
        <v>0</v>
      </c>
      <c r="V25" s="13">
        <f>R25</f>
        <v>0</v>
      </c>
    </row>
    <row r="26" spans="1:42" s="255" customFormat="1" ht="30" x14ac:dyDescent="0.25">
      <c r="A26" s="170">
        <v>17</v>
      </c>
      <c r="B26" s="107" t="s">
        <v>171</v>
      </c>
      <c r="C26" s="14" t="s">
        <v>35</v>
      </c>
      <c r="D26" s="14" t="s">
        <v>40</v>
      </c>
      <c r="E26" s="77" t="s">
        <v>74</v>
      </c>
      <c r="F26" s="11">
        <v>52000000</v>
      </c>
      <c r="G26" s="12">
        <f t="shared" ref="G26" si="5">F26*0.9</f>
        <v>46800000</v>
      </c>
      <c r="H26" s="13">
        <f>F26-G26</f>
        <v>5200000</v>
      </c>
      <c r="I26" s="11">
        <v>0</v>
      </c>
      <c r="J26" s="12">
        <v>0</v>
      </c>
      <c r="K26" s="12">
        <v>0</v>
      </c>
      <c r="L26" s="12">
        <f>H26</f>
        <v>5200000</v>
      </c>
      <c r="M26" s="13">
        <v>0</v>
      </c>
      <c r="N26" s="11">
        <v>0</v>
      </c>
      <c r="O26" s="12">
        <v>0</v>
      </c>
      <c r="P26" s="12">
        <v>0</v>
      </c>
      <c r="Q26" s="59">
        <v>0</v>
      </c>
      <c r="R26" s="13">
        <f>G26</f>
        <v>46800000</v>
      </c>
      <c r="S26" s="12">
        <v>0</v>
      </c>
      <c r="T26" s="12">
        <v>0</v>
      </c>
      <c r="U26" s="59">
        <v>0</v>
      </c>
      <c r="V26" s="13">
        <f>R26</f>
        <v>46800000</v>
      </c>
    </row>
    <row r="27" spans="1:42" s="255" customFormat="1" ht="26.45" customHeight="1" x14ac:dyDescent="0.25">
      <c r="A27" s="51">
        <v>18</v>
      </c>
      <c r="B27" s="107" t="s">
        <v>85</v>
      </c>
      <c r="C27" s="14" t="s">
        <v>21</v>
      </c>
      <c r="D27" s="14" t="s">
        <v>40</v>
      </c>
      <c r="E27" s="77" t="s">
        <v>74</v>
      </c>
      <c r="F27" s="11">
        <f>SUM(G27:H27)</f>
        <v>246933827</v>
      </c>
      <c r="G27" s="12">
        <f>SUM(N27:R27)</f>
        <v>216900000</v>
      </c>
      <c r="H27" s="13">
        <f>SUM(I27:M27)</f>
        <v>30033827</v>
      </c>
      <c r="I27" s="11">
        <v>518848</v>
      </c>
      <c r="J27" s="12">
        <v>5414979</v>
      </c>
      <c r="K27" s="12">
        <v>0</v>
      </c>
      <c r="L27" s="12">
        <v>12050000</v>
      </c>
      <c r="M27" s="13">
        <v>12050000</v>
      </c>
      <c r="N27" s="11">
        <v>0</v>
      </c>
      <c r="O27" s="12">
        <v>0</v>
      </c>
      <c r="P27" s="12">
        <v>0</v>
      </c>
      <c r="Q27" s="59">
        <v>108450000</v>
      </c>
      <c r="R27" s="13">
        <v>108450000</v>
      </c>
      <c r="S27" s="12">
        <v>0</v>
      </c>
      <c r="T27" s="12">
        <v>0</v>
      </c>
      <c r="U27" s="59">
        <f>(Q27/8)*5</f>
        <v>67781250</v>
      </c>
      <c r="V27" s="13">
        <f>Q27+R27-U27</f>
        <v>149118750</v>
      </c>
    </row>
    <row r="28" spans="1:42" s="255" customFormat="1" ht="30" x14ac:dyDescent="0.25">
      <c r="A28" s="170">
        <v>19</v>
      </c>
      <c r="B28" s="107" t="s">
        <v>84</v>
      </c>
      <c r="C28" s="14" t="s">
        <v>21</v>
      </c>
      <c r="D28" s="14" t="s">
        <v>40</v>
      </c>
      <c r="E28" s="77" t="s">
        <v>74</v>
      </c>
      <c r="F28" s="11">
        <f>SUM(G28:H28)</f>
        <v>125308296.5</v>
      </c>
      <c r="G28" s="12">
        <f>SUM(N28:R28)</f>
        <v>111980700</v>
      </c>
      <c r="H28" s="13">
        <f>SUM(I28:M28)</f>
        <v>13327596.5</v>
      </c>
      <c r="I28" s="11">
        <v>615754.5</v>
      </c>
      <c r="J28" s="12">
        <v>269542</v>
      </c>
      <c r="K28" s="12">
        <v>0</v>
      </c>
      <c r="L28" s="12">
        <v>6221150</v>
      </c>
      <c r="M28" s="13">
        <v>6221150</v>
      </c>
      <c r="N28" s="11">
        <v>0</v>
      </c>
      <c r="O28" s="12">
        <v>0</v>
      </c>
      <c r="P28" s="12">
        <v>0</v>
      </c>
      <c r="Q28" s="59">
        <v>55990350</v>
      </c>
      <c r="R28" s="13">
        <v>55990350</v>
      </c>
      <c r="S28" s="12">
        <v>0</v>
      </c>
      <c r="T28" s="12">
        <v>0</v>
      </c>
      <c r="U28" s="59">
        <f>(Q28/8)*5</f>
        <v>34993968.75</v>
      </c>
      <c r="V28" s="13">
        <f>Q28+R28-U28</f>
        <v>76986731.25</v>
      </c>
    </row>
    <row r="29" spans="1:42" s="267" customFormat="1" ht="30" x14ac:dyDescent="0.25">
      <c r="A29" s="51">
        <v>20</v>
      </c>
      <c r="B29" s="107" t="s">
        <v>86</v>
      </c>
      <c r="C29" s="14" t="s">
        <v>21</v>
      </c>
      <c r="D29" s="14" t="s">
        <v>40</v>
      </c>
      <c r="E29" s="77" t="s">
        <v>74</v>
      </c>
      <c r="F29" s="11">
        <f>SUM(G29:H29)</f>
        <v>322308000</v>
      </c>
      <c r="G29" s="12">
        <f>SUM(N29:R29)</f>
        <v>290077200</v>
      </c>
      <c r="H29" s="13">
        <f>SUM(I29:M29)</f>
        <v>32230800</v>
      </c>
      <c r="I29" s="11">
        <v>1728266</v>
      </c>
      <c r="J29" s="12">
        <v>604758</v>
      </c>
      <c r="K29" s="12">
        <v>0</v>
      </c>
      <c r="L29" s="12">
        <v>16115400</v>
      </c>
      <c r="M29" s="13">
        <f>16115400-I29-J29</f>
        <v>13782376</v>
      </c>
      <c r="N29" s="11">
        <v>0</v>
      </c>
      <c r="O29" s="12">
        <v>0</v>
      </c>
      <c r="P29" s="12">
        <v>0</v>
      </c>
      <c r="Q29" s="59">
        <v>145038600</v>
      </c>
      <c r="R29" s="13">
        <v>145038600</v>
      </c>
      <c r="S29" s="108">
        <v>0</v>
      </c>
      <c r="T29" s="108">
        <v>0</v>
      </c>
      <c r="U29" s="109">
        <f>(Q29/8)*5</f>
        <v>90649125</v>
      </c>
      <c r="V29" s="110">
        <f>Q29+R29-U29</f>
        <v>199428075</v>
      </c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</row>
    <row r="30" spans="1:42" s="255" customFormat="1" ht="23.25" customHeight="1" x14ac:dyDescent="0.25">
      <c r="A30" s="170">
        <v>21</v>
      </c>
      <c r="B30" s="107" t="s">
        <v>87</v>
      </c>
      <c r="C30" s="14" t="s">
        <v>21</v>
      </c>
      <c r="D30" s="14" t="s">
        <v>40</v>
      </c>
      <c r="E30" s="77" t="s">
        <v>74</v>
      </c>
      <c r="F30" s="11">
        <f>SUM(G30:H30)</f>
        <v>72604000</v>
      </c>
      <c r="G30" s="12">
        <f>SUM(N30:R30)</f>
        <v>65343600</v>
      </c>
      <c r="H30" s="13">
        <f>SUM(I30:M30)</f>
        <v>7260400</v>
      </c>
      <c r="I30" s="11">
        <v>2356533.7999999998</v>
      </c>
      <c r="J30" s="12">
        <v>420467</v>
      </c>
      <c r="K30" s="12">
        <v>0</v>
      </c>
      <c r="L30" s="12">
        <v>3630200</v>
      </c>
      <c r="M30" s="13">
        <f>3630200-I30-J30</f>
        <v>853199.20000000019</v>
      </c>
      <c r="N30" s="11">
        <v>0</v>
      </c>
      <c r="O30" s="12">
        <v>0</v>
      </c>
      <c r="P30" s="12">
        <v>0</v>
      </c>
      <c r="Q30" s="59">
        <v>32671800</v>
      </c>
      <c r="R30" s="13">
        <v>32671800</v>
      </c>
      <c r="S30" s="12">
        <v>0</v>
      </c>
      <c r="T30" s="12">
        <v>0</v>
      </c>
      <c r="U30" s="109">
        <f t="shared" ref="U30:U31" si="6">(Q30/8)*5</f>
        <v>20419875</v>
      </c>
      <c r="V30" s="110">
        <f t="shared" ref="V30:V31" si="7">Q30+R30-U30</f>
        <v>44923725</v>
      </c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</row>
    <row r="31" spans="1:42" s="255" customFormat="1" ht="22.5" customHeight="1" thickBot="1" x14ac:dyDescent="0.3">
      <c r="A31" s="51">
        <v>22</v>
      </c>
      <c r="B31" s="107" t="s">
        <v>88</v>
      </c>
      <c r="C31" s="14" t="s">
        <v>21</v>
      </c>
      <c r="D31" s="14" t="s">
        <v>40</v>
      </c>
      <c r="E31" s="77" t="s">
        <v>74</v>
      </c>
      <c r="F31" s="11">
        <f>SUM(G31:H31)</f>
        <v>274019000</v>
      </c>
      <c r="G31" s="12">
        <f>SUM(N31:R31)</f>
        <v>246617100</v>
      </c>
      <c r="H31" s="13">
        <f>SUM(I31:M31)</f>
        <v>27401900</v>
      </c>
      <c r="I31" s="11">
        <v>1104986</v>
      </c>
      <c r="J31" s="12">
        <v>0</v>
      </c>
      <c r="K31" s="12">
        <v>0</v>
      </c>
      <c r="L31" s="12">
        <v>13700950</v>
      </c>
      <c r="M31" s="13">
        <f>13700950-I31</f>
        <v>12595964</v>
      </c>
      <c r="N31" s="11">
        <v>0</v>
      </c>
      <c r="O31" s="12">
        <v>0</v>
      </c>
      <c r="P31" s="12">
        <v>0</v>
      </c>
      <c r="Q31" s="59">
        <v>123308550</v>
      </c>
      <c r="R31" s="13">
        <v>123308550</v>
      </c>
      <c r="S31" s="12">
        <v>0</v>
      </c>
      <c r="T31" s="12">
        <v>0</v>
      </c>
      <c r="U31" s="109">
        <f t="shared" si="6"/>
        <v>77067843.75</v>
      </c>
      <c r="V31" s="110">
        <f t="shared" si="7"/>
        <v>169549256.25</v>
      </c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</row>
    <row r="32" spans="1:42" s="267" customFormat="1" ht="15.75" thickBot="1" x14ac:dyDescent="0.3">
      <c r="A32" s="434" t="s">
        <v>16</v>
      </c>
      <c r="B32" s="435"/>
      <c r="C32" s="435"/>
      <c r="D32" s="435"/>
      <c r="E32" s="436"/>
      <c r="F32" s="122">
        <f>SUM(F23:F31)</f>
        <v>1617403123.5</v>
      </c>
      <c r="G32" s="122">
        <f t="shared" ref="G32:V32" si="8">SUM(G23:G31)</f>
        <v>1449525600</v>
      </c>
      <c r="H32" s="122">
        <f t="shared" si="8"/>
        <v>167877523.5</v>
      </c>
      <c r="I32" s="122">
        <f t="shared" si="8"/>
        <v>15626846.84</v>
      </c>
      <c r="J32" s="122">
        <f t="shared" si="8"/>
        <v>7186748</v>
      </c>
      <c r="K32" s="122">
        <f t="shared" si="8"/>
        <v>0</v>
      </c>
      <c r="L32" s="122">
        <f t="shared" si="8"/>
        <v>83129200</v>
      </c>
      <c r="M32" s="122">
        <f t="shared" si="8"/>
        <v>61934728.660000004</v>
      </c>
      <c r="N32" s="122">
        <f t="shared" si="8"/>
        <v>0</v>
      </c>
      <c r="O32" s="122">
        <f t="shared" si="8"/>
        <v>0</v>
      </c>
      <c r="P32" s="122">
        <f t="shared" si="8"/>
        <v>52650000</v>
      </c>
      <c r="Q32" s="122">
        <f t="shared" si="8"/>
        <v>701362800</v>
      </c>
      <c r="R32" s="122">
        <f t="shared" si="8"/>
        <v>695512800</v>
      </c>
      <c r="S32" s="122">
        <f t="shared" si="8"/>
        <v>0</v>
      </c>
      <c r="T32" s="122">
        <f t="shared" si="8"/>
        <v>52650000</v>
      </c>
      <c r="U32" s="122">
        <f t="shared" si="8"/>
        <v>458095500</v>
      </c>
      <c r="V32" s="122">
        <f t="shared" si="8"/>
        <v>938780100</v>
      </c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</row>
    <row r="33" spans="1:42" s="268" customFormat="1" ht="15.75" thickBot="1" x14ac:dyDescent="0.3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</row>
    <row r="34" spans="1:42" s="255" customFormat="1" ht="21" customHeight="1" thickBot="1" x14ac:dyDescent="0.3">
      <c r="A34" s="425" t="s">
        <v>99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7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</row>
    <row r="35" spans="1:42" s="267" customFormat="1" ht="15.75" thickBot="1" x14ac:dyDescent="0.3">
      <c r="A35" s="434" t="s">
        <v>16</v>
      </c>
      <c r="B35" s="435"/>
      <c r="C35" s="435"/>
      <c r="D35" s="435"/>
      <c r="E35" s="436"/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3">
        <v>0</v>
      </c>
    </row>
    <row r="36" spans="1:42" s="255" customFormat="1" ht="15.75" thickBot="1" x14ac:dyDescent="0.3">
      <c r="A36" s="125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</row>
    <row r="37" spans="1:42" s="255" customFormat="1" ht="18" customHeight="1" thickBot="1" x14ac:dyDescent="0.3">
      <c r="A37" s="456" t="s">
        <v>96</v>
      </c>
      <c r="B37" s="426"/>
      <c r="C37" s="426"/>
      <c r="D37" s="426"/>
      <c r="E37" s="426"/>
      <c r="F37" s="426"/>
      <c r="G37" s="426"/>
      <c r="H37" s="426"/>
      <c r="I37" s="426"/>
      <c r="J37" s="426"/>
      <c r="K37" s="426"/>
      <c r="L37" s="426"/>
      <c r="M37" s="426"/>
      <c r="N37" s="426"/>
      <c r="O37" s="426"/>
      <c r="P37" s="426"/>
      <c r="Q37" s="426"/>
      <c r="R37" s="427"/>
      <c r="S37" s="431"/>
      <c r="T37" s="432"/>
      <c r="U37" s="432"/>
      <c r="V37" s="433"/>
    </row>
    <row r="38" spans="1:42" s="255" customFormat="1" ht="30" x14ac:dyDescent="0.25">
      <c r="A38" s="126">
        <v>1</v>
      </c>
      <c r="B38" s="96" t="s">
        <v>103</v>
      </c>
      <c r="C38" s="14" t="s">
        <v>7</v>
      </c>
      <c r="D38" s="14" t="s">
        <v>40</v>
      </c>
      <c r="E38" s="77" t="s">
        <v>26</v>
      </c>
      <c r="F38" s="11">
        <v>20658810</v>
      </c>
      <c r="G38" s="12">
        <v>18592929</v>
      </c>
      <c r="H38" s="13">
        <v>2065881</v>
      </c>
      <c r="I38" s="11">
        <f>70000</f>
        <v>70000</v>
      </c>
      <c r="J38" s="12">
        <f>1600000*0.1</f>
        <v>160000</v>
      </c>
      <c r="K38" s="12">
        <f>14110000*0.1</f>
        <v>1411000</v>
      </c>
      <c r="L38" s="12">
        <f>4878810*0.1</f>
        <v>487881</v>
      </c>
      <c r="M38" s="13">
        <v>0</v>
      </c>
      <c r="N38" s="11">
        <v>0</v>
      </c>
      <c r="O38" s="12">
        <f>1600000*0.9</f>
        <v>1440000</v>
      </c>
      <c r="P38" s="12">
        <f>14110000*0.9</f>
        <v>12699000</v>
      </c>
      <c r="Q38" s="12">
        <f>4878810*0.9</f>
        <v>4390929</v>
      </c>
      <c r="R38" s="13">
        <v>0</v>
      </c>
      <c r="S38" s="12">
        <f>O38</f>
        <v>1440000</v>
      </c>
      <c r="T38" s="12">
        <f>P38</f>
        <v>12699000</v>
      </c>
      <c r="U38" s="12">
        <f>Q38</f>
        <v>4390929</v>
      </c>
      <c r="V38" s="13">
        <v>0</v>
      </c>
    </row>
    <row r="39" spans="1:42" s="255" customFormat="1" ht="30" x14ac:dyDescent="0.25">
      <c r="A39" s="51">
        <v>2</v>
      </c>
      <c r="B39" s="174" t="s">
        <v>104</v>
      </c>
      <c r="C39" s="14" t="s">
        <v>21</v>
      </c>
      <c r="D39" s="14" t="s">
        <v>40</v>
      </c>
      <c r="E39" s="77" t="s">
        <v>37</v>
      </c>
      <c r="F39" s="11">
        <f>SUM(G39:H39)</f>
        <v>99250000</v>
      </c>
      <c r="G39" s="12">
        <f>SUM(N39:R39)</f>
        <v>85725000</v>
      </c>
      <c r="H39" s="13">
        <f>SUM(I39:M39)</f>
        <v>13525000</v>
      </c>
      <c r="I39" s="11">
        <v>0</v>
      </c>
      <c r="J39" s="12">
        <v>4000000</v>
      </c>
      <c r="K39" s="12">
        <v>3175000</v>
      </c>
      <c r="L39" s="12">
        <v>3175000</v>
      </c>
      <c r="M39" s="13">
        <v>3175000</v>
      </c>
      <c r="N39" s="11">
        <v>0</v>
      </c>
      <c r="O39" s="12">
        <v>0</v>
      </c>
      <c r="P39" s="12">
        <v>28575000</v>
      </c>
      <c r="Q39" s="59">
        <v>28575000</v>
      </c>
      <c r="R39" s="13">
        <v>28575000</v>
      </c>
      <c r="S39" s="12">
        <v>0</v>
      </c>
      <c r="T39" s="12">
        <v>0</v>
      </c>
      <c r="U39" s="59">
        <f>P39</f>
        <v>28575000</v>
      </c>
      <c r="V39" s="13">
        <f>Q39+R39</f>
        <v>57150000</v>
      </c>
    </row>
    <row r="40" spans="1:42" s="255" customFormat="1" ht="45.75" thickBot="1" x14ac:dyDescent="0.3">
      <c r="A40" s="167">
        <v>3</v>
      </c>
      <c r="B40" s="165" t="s">
        <v>34</v>
      </c>
      <c r="C40" s="97" t="s">
        <v>21</v>
      </c>
      <c r="D40" s="97" t="s">
        <v>39</v>
      </c>
      <c r="E40" s="173">
        <v>2018</v>
      </c>
      <c r="F40" s="117">
        <f>SUM(G40:H40)</f>
        <v>8363000</v>
      </c>
      <c r="G40" s="118">
        <v>1995000</v>
      </c>
      <c r="H40" s="175">
        <v>6368000</v>
      </c>
      <c r="I40" s="117">
        <v>0</v>
      </c>
      <c r="J40" s="118">
        <v>42000</v>
      </c>
      <c r="K40" s="118">
        <f>108000-42000</f>
        <v>66000</v>
      </c>
      <c r="L40" s="118">
        <v>0</v>
      </c>
      <c r="M40" s="119">
        <v>0</v>
      </c>
      <c r="N40" s="117">
        <v>0</v>
      </c>
      <c r="O40" s="118">
        <v>0</v>
      </c>
      <c r="P40" s="118">
        <v>1995000</v>
      </c>
      <c r="Q40" s="163">
        <v>0</v>
      </c>
      <c r="R40" s="119">
        <v>0</v>
      </c>
      <c r="S40" s="118">
        <v>0</v>
      </c>
      <c r="T40" s="118">
        <v>0</v>
      </c>
      <c r="U40" s="163">
        <v>1995000</v>
      </c>
      <c r="V40" s="119">
        <v>0</v>
      </c>
    </row>
    <row r="41" spans="1:42" s="267" customFormat="1" ht="15.75" thickBot="1" x14ac:dyDescent="0.3">
      <c r="A41" s="457" t="s">
        <v>16</v>
      </c>
      <c r="B41" s="458"/>
      <c r="C41" s="458"/>
      <c r="D41" s="458"/>
      <c r="E41" s="459"/>
      <c r="F41" s="128">
        <f>SUM(F38:F40)</f>
        <v>128271810</v>
      </c>
      <c r="G41" s="128">
        <f t="shared" ref="G41:V41" si="9">SUM(G38:G40)</f>
        <v>106312929</v>
      </c>
      <c r="H41" s="128">
        <f t="shared" si="9"/>
        <v>21958881</v>
      </c>
      <c r="I41" s="128">
        <f t="shared" si="9"/>
        <v>70000</v>
      </c>
      <c r="J41" s="128">
        <f t="shared" si="9"/>
        <v>4202000</v>
      </c>
      <c r="K41" s="128">
        <f t="shared" si="9"/>
        <v>4652000</v>
      </c>
      <c r="L41" s="128">
        <f t="shared" si="9"/>
        <v>3662881</v>
      </c>
      <c r="M41" s="128">
        <f t="shared" si="9"/>
        <v>3175000</v>
      </c>
      <c r="N41" s="128">
        <f t="shared" si="9"/>
        <v>0</v>
      </c>
      <c r="O41" s="128">
        <f t="shared" si="9"/>
        <v>1440000</v>
      </c>
      <c r="P41" s="128">
        <f t="shared" si="9"/>
        <v>43269000</v>
      </c>
      <c r="Q41" s="128">
        <f t="shared" si="9"/>
        <v>32965929</v>
      </c>
      <c r="R41" s="128">
        <f t="shared" si="9"/>
        <v>28575000</v>
      </c>
      <c r="S41" s="128">
        <f t="shared" si="9"/>
        <v>1440000</v>
      </c>
      <c r="T41" s="128">
        <f t="shared" si="9"/>
        <v>12699000</v>
      </c>
      <c r="U41" s="128">
        <f t="shared" si="9"/>
        <v>34960929</v>
      </c>
      <c r="V41" s="128">
        <f t="shared" si="9"/>
        <v>57150000</v>
      </c>
    </row>
    <row r="42" spans="1:42" s="255" customFormat="1" ht="21" customHeight="1" thickBot="1" x14ac:dyDescent="0.3">
      <c r="A42" s="425" t="s">
        <v>89</v>
      </c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129"/>
      <c r="T42" s="129"/>
      <c r="U42" s="129"/>
      <c r="V42" s="129"/>
    </row>
    <row r="43" spans="1:42" s="270" customFormat="1" ht="15.75" thickBot="1" x14ac:dyDescent="0.3">
      <c r="A43" s="187"/>
      <c r="B43" s="188"/>
      <c r="C43" s="187"/>
      <c r="D43" s="187"/>
      <c r="E43" s="189"/>
      <c r="F43" s="188"/>
      <c r="G43" s="188"/>
      <c r="H43" s="188"/>
      <c r="I43" s="188"/>
      <c r="J43" s="188"/>
      <c r="K43" s="188"/>
      <c r="L43" s="188"/>
      <c r="M43" s="188"/>
      <c r="N43" s="190"/>
      <c r="O43" s="190"/>
      <c r="P43" s="190"/>
      <c r="Q43" s="190"/>
      <c r="R43" s="190"/>
      <c r="S43" s="190"/>
      <c r="T43" s="190"/>
      <c r="U43" s="190"/>
      <c r="V43" s="190"/>
    </row>
    <row r="44" spans="1:42" s="255" customFormat="1" ht="60" x14ac:dyDescent="0.25">
      <c r="A44" s="186">
        <v>1</v>
      </c>
      <c r="B44" s="201" t="s">
        <v>107</v>
      </c>
      <c r="C44" s="94" t="s">
        <v>21</v>
      </c>
      <c r="D44" s="94" t="s">
        <v>40</v>
      </c>
      <c r="E44" s="95" t="s">
        <v>26</v>
      </c>
      <c r="F44" s="127">
        <f>SUM(G44:H44)</f>
        <v>70906000</v>
      </c>
      <c r="G44" s="108">
        <f>SUM(N44:R44)</f>
        <v>60597700</v>
      </c>
      <c r="H44" s="110">
        <f>SUM(I44:M44)</f>
        <v>10308300</v>
      </c>
      <c r="I44" s="127">
        <v>0</v>
      </c>
      <c r="J44" s="108">
        <v>3844300</v>
      </c>
      <c r="K44" s="108">
        <v>4499000</v>
      </c>
      <c r="L44" s="108">
        <v>1965000</v>
      </c>
      <c r="M44" s="110">
        <v>0</v>
      </c>
      <c r="N44" s="127">
        <v>0</v>
      </c>
      <c r="O44" s="127">
        <v>2747700</v>
      </c>
      <c r="P44" s="108">
        <v>40495000</v>
      </c>
      <c r="Q44" s="109">
        <v>17355000</v>
      </c>
      <c r="R44" s="110">
        <v>0</v>
      </c>
      <c r="S44" s="108">
        <v>0</v>
      </c>
      <c r="T44" s="108">
        <v>20000000</v>
      </c>
      <c r="U44" s="109">
        <v>30000000</v>
      </c>
      <c r="V44" s="110">
        <f>G44-T44-U44</f>
        <v>10597700</v>
      </c>
    </row>
    <row r="45" spans="1:42" s="255" customFormat="1" ht="60" x14ac:dyDescent="0.25">
      <c r="A45" s="51">
        <v>2</v>
      </c>
      <c r="B45" s="43" t="s">
        <v>108</v>
      </c>
      <c r="C45" s="14" t="s">
        <v>21</v>
      </c>
      <c r="D45" s="14" t="s">
        <v>40</v>
      </c>
      <c r="E45" s="77" t="s">
        <v>26</v>
      </c>
      <c r="F45" s="11">
        <f>SUM(G45:H45)</f>
        <v>51003000</v>
      </c>
      <c r="G45" s="12">
        <f>SUM(N45:R45)</f>
        <v>44236600</v>
      </c>
      <c r="H45" s="13">
        <f>SUM(I45:M45)</f>
        <v>6766400</v>
      </c>
      <c r="I45" s="11">
        <v>0</v>
      </c>
      <c r="J45" s="12">
        <v>3337400</v>
      </c>
      <c r="K45" s="12">
        <v>2400000</v>
      </c>
      <c r="L45" s="12">
        <v>1029000</v>
      </c>
      <c r="M45" s="13">
        <v>0</v>
      </c>
      <c r="N45" s="11">
        <v>0</v>
      </c>
      <c r="O45" s="12">
        <v>13377600</v>
      </c>
      <c r="P45" s="12">
        <v>21601000</v>
      </c>
      <c r="Q45" s="59">
        <v>9258000</v>
      </c>
      <c r="R45" s="13">
        <v>0</v>
      </c>
      <c r="S45" s="12">
        <v>0</v>
      </c>
      <c r="T45" s="12">
        <v>15000000</v>
      </c>
      <c r="U45" s="59">
        <v>15000000</v>
      </c>
      <c r="V45" s="13">
        <f t="shared" ref="V45:V46" si="10">G45-T45-U45</f>
        <v>14236600</v>
      </c>
    </row>
    <row r="46" spans="1:42" s="255" customFormat="1" ht="60" x14ac:dyDescent="0.25">
      <c r="A46" s="51">
        <v>3</v>
      </c>
      <c r="B46" s="43" t="s">
        <v>159</v>
      </c>
      <c r="C46" s="14" t="s">
        <v>21</v>
      </c>
      <c r="D46" s="14" t="s">
        <v>40</v>
      </c>
      <c r="E46" s="77" t="s">
        <v>26</v>
      </c>
      <c r="F46" s="11">
        <f t="shared" ref="F46:F47" si="11">SUM(G46:H46)</f>
        <v>15281000</v>
      </c>
      <c r="G46" s="12">
        <f t="shared" ref="G46:G47" si="12">SUM(N46:R46)</f>
        <v>13300000</v>
      </c>
      <c r="H46" s="13">
        <f t="shared" ref="H46:H47" si="13">SUM(I46:M46)</f>
        <v>1981000</v>
      </c>
      <c r="I46" s="11">
        <v>0</v>
      </c>
      <c r="J46" s="136">
        <v>492000</v>
      </c>
      <c r="K46" s="12">
        <v>900000</v>
      </c>
      <c r="L46" s="12">
        <f>577000+12000</f>
        <v>589000</v>
      </c>
      <c r="M46" s="13">
        <v>0</v>
      </c>
      <c r="N46" s="11">
        <v>0</v>
      </c>
      <c r="O46" s="136">
        <v>0</v>
      </c>
      <c r="P46" s="12">
        <v>8100000</v>
      </c>
      <c r="Q46" s="59">
        <v>5200000</v>
      </c>
      <c r="R46" s="13">
        <v>0</v>
      </c>
      <c r="S46" s="12">
        <v>0</v>
      </c>
      <c r="T46" s="12">
        <v>0</v>
      </c>
      <c r="U46" s="59">
        <v>7000000</v>
      </c>
      <c r="V46" s="13">
        <f t="shared" si="10"/>
        <v>6300000</v>
      </c>
    </row>
    <row r="47" spans="1:42" s="255" customFormat="1" ht="90.75" thickBot="1" x14ac:dyDescent="0.3">
      <c r="A47" s="167">
        <v>4</v>
      </c>
      <c r="B47" s="176" t="s">
        <v>186</v>
      </c>
      <c r="C47" s="97" t="s">
        <v>21</v>
      </c>
      <c r="D47" s="97" t="s">
        <v>40</v>
      </c>
      <c r="E47" s="173" t="s">
        <v>25</v>
      </c>
      <c r="F47" s="117">
        <f t="shared" si="11"/>
        <v>1559690</v>
      </c>
      <c r="G47" s="118">
        <f t="shared" si="12"/>
        <v>0</v>
      </c>
      <c r="H47" s="119">
        <f t="shared" si="13"/>
        <v>1559690</v>
      </c>
      <c r="I47" s="117">
        <v>1559690</v>
      </c>
      <c r="J47" s="118">
        <v>0</v>
      </c>
      <c r="K47" s="118">
        <v>0</v>
      </c>
      <c r="L47" s="118">
        <v>0</v>
      </c>
      <c r="M47" s="119">
        <v>0</v>
      </c>
      <c r="N47" s="117">
        <v>0</v>
      </c>
      <c r="O47" s="118">
        <v>0</v>
      </c>
      <c r="P47" s="118">
        <v>0</v>
      </c>
      <c r="Q47" s="118">
        <v>0</v>
      </c>
      <c r="R47" s="119">
        <v>0</v>
      </c>
      <c r="S47" s="118">
        <v>0</v>
      </c>
      <c r="T47" s="118">
        <f>O47</f>
        <v>0</v>
      </c>
      <c r="U47" s="118">
        <f>P47</f>
        <v>0</v>
      </c>
      <c r="V47" s="119">
        <v>0</v>
      </c>
    </row>
    <row r="48" spans="1:42" s="267" customFormat="1" ht="15.75" thickBot="1" x14ac:dyDescent="0.3">
      <c r="A48" s="457" t="s">
        <v>16</v>
      </c>
      <c r="B48" s="458"/>
      <c r="C48" s="458"/>
      <c r="D48" s="458"/>
      <c r="E48" s="459"/>
      <c r="F48" s="128">
        <f t="shared" ref="F48:V48" si="14">SUM(F44:F47)</f>
        <v>138749690</v>
      </c>
      <c r="G48" s="128">
        <f t="shared" si="14"/>
        <v>118134300</v>
      </c>
      <c r="H48" s="128">
        <f t="shared" si="14"/>
        <v>20615390</v>
      </c>
      <c r="I48" s="128">
        <f t="shared" si="14"/>
        <v>1559690</v>
      </c>
      <c r="J48" s="128">
        <f t="shared" si="14"/>
        <v>7673700</v>
      </c>
      <c r="K48" s="128">
        <f t="shared" si="14"/>
        <v>7799000</v>
      </c>
      <c r="L48" s="128">
        <f t="shared" si="14"/>
        <v>3583000</v>
      </c>
      <c r="M48" s="128">
        <f t="shared" si="14"/>
        <v>0</v>
      </c>
      <c r="N48" s="128">
        <f t="shared" si="14"/>
        <v>0</v>
      </c>
      <c r="O48" s="128">
        <f t="shared" si="14"/>
        <v>16125300</v>
      </c>
      <c r="P48" s="128">
        <f t="shared" si="14"/>
        <v>70196000</v>
      </c>
      <c r="Q48" s="128">
        <f t="shared" si="14"/>
        <v>31813000</v>
      </c>
      <c r="R48" s="128">
        <f t="shared" si="14"/>
        <v>0</v>
      </c>
      <c r="S48" s="128">
        <f t="shared" si="14"/>
        <v>0</v>
      </c>
      <c r="T48" s="128">
        <f t="shared" si="14"/>
        <v>35000000</v>
      </c>
      <c r="U48" s="128">
        <f t="shared" si="14"/>
        <v>52000000</v>
      </c>
      <c r="V48" s="128">
        <f t="shared" si="14"/>
        <v>31134300</v>
      </c>
    </row>
    <row r="49" spans="1:22" s="255" customFormat="1" ht="15.75" thickBot="1" x14ac:dyDescent="0.3">
      <c r="A49" s="125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</row>
    <row r="50" spans="1:22" s="255" customFormat="1" ht="21" customHeight="1" thickBot="1" x14ac:dyDescent="0.3">
      <c r="A50" s="456" t="s">
        <v>97</v>
      </c>
      <c r="B50" s="426"/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7"/>
      <c r="S50" s="431"/>
      <c r="T50" s="432"/>
      <c r="U50" s="257"/>
      <c r="V50" s="258"/>
    </row>
    <row r="51" spans="1:22" s="270" customFormat="1" ht="61.5" customHeight="1" x14ac:dyDescent="0.25">
      <c r="A51" s="166">
        <v>1</v>
      </c>
      <c r="B51" s="130" t="s">
        <v>153</v>
      </c>
      <c r="C51" s="14" t="s">
        <v>21</v>
      </c>
      <c r="D51" s="14" t="s">
        <v>45</v>
      </c>
      <c r="E51" s="77" t="s">
        <v>36</v>
      </c>
      <c r="F51" s="11">
        <f>SUM(G51:H51)</f>
        <v>91576083</v>
      </c>
      <c r="G51" s="12">
        <f>SUM(N51:R51)</f>
        <v>81715500</v>
      </c>
      <c r="H51" s="13">
        <f>SUM(I51:M51)</f>
        <v>9860583</v>
      </c>
      <c r="I51" s="11">
        <v>781083</v>
      </c>
      <c r="J51" s="12">
        <v>0</v>
      </c>
      <c r="K51" s="12">
        <v>3000000</v>
      </c>
      <c r="L51" s="12">
        <v>6079500</v>
      </c>
      <c r="M51" s="13">
        <v>0</v>
      </c>
      <c r="N51" s="11">
        <v>0</v>
      </c>
      <c r="O51" s="12">
        <v>0</v>
      </c>
      <c r="P51" s="12">
        <v>27000000</v>
      </c>
      <c r="Q51" s="59">
        <v>54715500</v>
      </c>
      <c r="R51" s="13">
        <v>0</v>
      </c>
      <c r="S51" s="12">
        <v>0</v>
      </c>
      <c r="T51" s="12">
        <f>P51</f>
        <v>27000000</v>
      </c>
      <c r="U51" s="12">
        <f>Q51</f>
        <v>54715500</v>
      </c>
      <c r="V51" s="13">
        <v>0</v>
      </c>
    </row>
    <row r="52" spans="1:22" s="270" customFormat="1" ht="59.45" customHeight="1" x14ac:dyDescent="0.25">
      <c r="A52" s="51">
        <v>2</v>
      </c>
      <c r="B52" s="96" t="s">
        <v>129</v>
      </c>
      <c r="C52" s="14" t="s">
        <v>21</v>
      </c>
      <c r="D52" s="14" t="s">
        <v>109</v>
      </c>
      <c r="E52" s="77">
        <v>2018</v>
      </c>
      <c r="F52" s="11">
        <v>27350000</v>
      </c>
      <c r="G52" s="12">
        <f>F52*0.9</f>
        <v>24615000</v>
      </c>
      <c r="H52" s="13">
        <f>F52-G52</f>
        <v>2735000</v>
      </c>
      <c r="I52" s="11">
        <v>0</v>
      </c>
      <c r="J52" s="12">
        <v>0</v>
      </c>
      <c r="K52" s="12">
        <f>H52</f>
        <v>2735000</v>
      </c>
      <c r="L52" s="12">
        <v>0</v>
      </c>
      <c r="M52" s="13">
        <v>0</v>
      </c>
      <c r="N52" s="11">
        <v>0</v>
      </c>
      <c r="O52" s="12">
        <v>0</v>
      </c>
      <c r="P52" s="12">
        <f>G52</f>
        <v>24615000</v>
      </c>
      <c r="Q52" s="59">
        <v>0</v>
      </c>
      <c r="R52" s="13">
        <v>0</v>
      </c>
      <c r="S52" s="12">
        <v>0</v>
      </c>
      <c r="T52" s="12">
        <f>P52/2</f>
        <v>12307500</v>
      </c>
      <c r="U52" s="59">
        <f>P52-T52</f>
        <v>12307500</v>
      </c>
      <c r="V52" s="13">
        <v>0</v>
      </c>
    </row>
    <row r="53" spans="1:22" s="270" customFormat="1" ht="77.25" customHeight="1" x14ac:dyDescent="0.25">
      <c r="A53" s="177">
        <v>3</v>
      </c>
      <c r="B53" s="178" t="s">
        <v>115</v>
      </c>
      <c r="C53" s="94" t="s">
        <v>21</v>
      </c>
      <c r="D53" s="94" t="s">
        <v>45</v>
      </c>
      <c r="E53" s="95" t="s">
        <v>36</v>
      </c>
      <c r="F53" s="127">
        <f t="shared" ref="F53" si="15">SUM(G53:H53)</f>
        <v>25047000</v>
      </c>
      <c r="G53" s="108">
        <f t="shared" ref="G53" si="16">SUM(N53:R53)</f>
        <v>22542300</v>
      </c>
      <c r="H53" s="110">
        <f t="shared" ref="H53" si="17">SUM(I53:M53)</f>
        <v>2504700</v>
      </c>
      <c r="I53" s="127">
        <f>272008*0.1</f>
        <v>27200.800000000003</v>
      </c>
      <c r="J53" s="108">
        <f>415500*0.01</f>
        <v>4155</v>
      </c>
      <c r="K53" s="108">
        <f>1555000-27200.8-4155</f>
        <v>1523644.2</v>
      </c>
      <c r="L53" s="108">
        <v>949700</v>
      </c>
      <c r="M53" s="110">
        <v>0</v>
      </c>
      <c r="N53" s="127">
        <f>272008*0.9</f>
        <v>244807.2</v>
      </c>
      <c r="O53" s="108">
        <f>415500*0.9</f>
        <v>373950</v>
      </c>
      <c r="P53" s="108">
        <f>14000000-244807.2-373950</f>
        <v>13381242.800000001</v>
      </c>
      <c r="Q53" s="109">
        <v>8542300</v>
      </c>
      <c r="R53" s="110">
        <v>0</v>
      </c>
      <c r="S53" s="108">
        <v>0</v>
      </c>
      <c r="T53" s="108">
        <v>14000000</v>
      </c>
      <c r="U53" s="109">
        <v>8542300</v>
      </c>
      <c r="V53" s="110">
        <v>0</v>
      </c>
    </row>
    <row r="54" spans="1:22" s="270" customFormat="1" ht="58.5" customHeight="1" x14ac:dyDescent="0.25">
      <c r="A54" s="51">
        <v>4</v>
      </c>
      <c r="B54" s="139" t="s">
        <v>141</v>
      </c>
      <c r="C54" s="140" t="s">
        <v>21</v>
      </c>
      <c r="D54" s="14" t="s">
        <v>40</v>
      </c>
      <c r="E54" s="77">
        <v>2018</v>
      </c>
      <c r="F54" s="11">
        <f t="shared" ref="F54" si="18">SUM(G54:H54)</f>
        <v>23000000</v>
      </c>
      <c r="G54" s="12">
        <f t="shared" ref="G54" si="19">SUM(N54:R54)</f>
        <v>20700000</v>
      </c>
      <c r="H54" s="13">
        <f t="shared" ref="H54" si="20">SUM(I54:M54)</f>
        <v>2300000</v>
      </c>
      <c r="I54" s="11">
        <f>77440*0.1</f>
        <v>7744</v>
      </c>
      <c r="J54" s="12">
        <f>517880*0.1</f>
        <v>51788</v>
      </c>
      <c r="K54" s="12">
        <f>2300000-7744-51788</f>
        <v>2240468</v>
      </c>
      <c r="L54" s="12">
        <v>0</v>
      </c>
      <c r="M54" s="13">
        <v>0</v>
      </c>
      <c r="N54" s="11">
        <f>77440*0.9</f>
        <v>69696</v>
      </c>
      <c r="O54" s="12">
        <f>517880*0.9</f>
        <v>466092</v>
      </c>
      <c r="P54" s="12">
        <f>20700000-69696-466092</f>
        <v>20164212</v>
      </c>
      <c r="Q54" s="59">
        <v>0</v>
      </c>
      <c r="R54" s="13">
        <v>0</v>
      </c>
      <c r="S54" s="12">
        <v>0</v>
      </c>
      <c r="T54" s="12">
        <v>6000000</v>
      </c>
      <c r="U54" s="59">
        <f>6060000+8640000</f>
        <v>14700000</v>
      </c>
      <c r="V54" s="13">
        <v>0</v>
      </c>
    </row>
    <row r="55" spans="1:22" s="270" customFormat="1" ht="50.25" customHeight="1" x14ac:dyDescent="0.25">
      <c r="A55" s="51">
        <v>5</v>
      </c>
      <c r="B55" s="96" t="s">
        <v>125</v>
      </c>
      <c r="C55" s="14" t="s">
        <v>7</v>
      </c>
      <c r="D55" s="14" t="s">
        <v>45</v>
      </c>
      <c r="E55" s="77" t="s">
        <v>25</v>
      </c>
      <c r="F55" s="11">
        <v>23900000</v>
      </c>
      <c r="G55" s="12">
        <f>F55*0.9</f>
        <v>21510000</v>
      </c>
      <c r="H55" s="13">
        <f>F55-G55</f>
        <v>2390000</v>
      </c>
      <c r="I55" s="11">
        <v>0</v>
      </c>
      <c r="J55" s="12">
        <v>0</v>
      </c>
      <c r="K55" s="12">
        <f>H55</f>
        <v>2390000</v>
      </c>
      <c r="L55" s="12">
        <v>0</v>
      </c>
      <c r="M55" s="13">
        <v>0</v>
      </c>
      <c r="N55" s="11">
        <v>0</v>
      </c>
      <c r="O55" s="12">
        <v>0</v>
      </c>
      <c r="P55" s="12">
        <f>G55</f>
        <v>21510000</v>
      </c>
      <c r="Q55" s="59">
        <v>0</v>
      </c>
      <c r="R55" s="13">
        <v>0</v>
      </c>
      <c r="S55" s="12">
        <v>0</v>
      </c>
      <c r="T55" s="12">
        <f>P55*0.3</f>
        <v>6453000</v>
      </c>
      <c r="U55" s="59">
        <f>P55-T55</f>
        <v>15057000</v>
      </c>
      <c r="V55" s="13">
        <v>0</v>
      </c>
    </row>
    <row r="56" spans="1:22" s="270" customFormat="1" ht="93.6" customHeight="1" x14ac:dyDescent="0.25">
      <c r="A56" s="51">
        <v>6</v>
      </c>
      <c r="B56" s="96" t="s">
        <v>126</v>
      </c>
      <c r="C56" s="14" t="s">
        <v>7</v>
      </c>
      <c r="D56" s="14" t="s">
        <v>45</v>
      </c>
      <c r="E56" s="77" t="s">
        <v>110</v>
      </c>
      <c r="F56" s="11">
        <f>6000000+19650000</f>
        <v>25650000</v>
      </c>
      <c r="G56" s="12">
        <f t="shared" ref="G56" si="21">F56*0.9</f>
        <v>23085000</v>
      </c>
      <c r="H56" s="13">
        <f t="shared" ref="H56" si="22">F56-G56</f>
        <v>2565000</v>
      </c>
      <c r="I56" s="11">
        <v>0</v>
      </c>
      <c r="J56" s="12">
        <v>0</v>
      </c>
      <c r="K56" s="12">
        <f>H56</f>
        <v>2565000</v>
      </c>
      <c r="L56" s="12">
        <v>0</v>
      </c>
      <c r="M56" s="13">
        <v>0</v>
      </c>
      <c r="N56" s="11">
        <v>0</v>
      </c>
      <c r="O56" s="12">
        <v>0</v>
      </c>
      <c r="P56" s="12">
        <f>G56</f>
        <v>23085000</v>
      </c>
      <c r="Q56" s="59">
        <v>0</v>
      </c>
      <c r="R56" s="13">
        <v>0</v>
      </c>
      <c r="S56" s="12">
        <v>0</v>
      </c>
      <c r="T56" s="12">
        <v>10000000</v>
      </c>
      <c r="U56" s="59">
        <v>13085000</v>
      </c>
      <c r="V56" s="13">
        <v>0</v>
      </c>
    </row>
    <row r="57" spans="1:22" s="270" customFormat="1" ht="56.25" customHeight="1" x14ac:dyDescent="0.25">
      <c r="A57" s="51">
        <v>7</v>
      </c>
      <c r="B57" s="130" t="s">
        <v>127</v>
      </c>
      <c r="C57" s="14" t="s">
        <v>21</v>
      </c>
      <c r="D57" s="14" t="s">
        <v>109</v>
      </c>
      <c r="E57" s="77">
        <v>2018</v>
      </c>
      <c r="F57" s="11">
        <f>SUM(G57:H57)</f>
        <v>10263000</v>
      </c>
      <c r="G57" s="12">
        <f>SUM(N57:R57)</f>
        <v>9236700</v>
      </c>
      <c r="H57" s="13">
        <f>SUM(I57:M57)</f>
        <v>1026300</v>
      </c>
      <c r="I57" s="11">
        <v>0</v>
      </c>
      <c r="J57" s="12">
        <v>73019</v>
      </c>
      <c r="K57" s="12">
        <v>953281</v>
      </c>
      <c r="L57" s="12">
        <v>0</v>
      </c>
      <c r="M57" s="13">
        <v>0</v>
      </c>
      <c r="N57" s="11">
        <v>0</v>
      </c>
      <c r="O57" s="12">
        <v>657171</v>
      </c>
      <c r="P57" s="12">
        <f>9236700-657171</f>
        <v>8579529</v>
      </c>
      <c r="Q57" s="59">
        <v>0</v>
      </c>
      <c r="R57" s="13">
        <v>0</v>
      </c>
      <c r="S57" s="12">
        <v>0</v>
      </c>
      <c r="T57" s="12">
        <f>P57</f>
        <v>8579529</v>
      </c>
      <c r="U57" s="59">
        <v>0</v>
      </c>
      <c r="V57" s="13">
        <v>0</v>
      </c>
    </row>
    <row r="58" spans="1:22" s="270" customFormat="1" ht="45" x14ac:dyDescent="0.25">
      <c r="A58" s="51">
        <v>8</v>
      </c>
      <c r="B58" s="96" t="s">
        <v>128</v>
      </c>
      <c r="C58" s="14" t="s">
        <v>21</v>
      </c>
      <c r="D58" s="14" t="s">
        <v>109</v>
      </c>
      <c r="E58" s="77">
        <v>2018</v>
      </c>
      <c r="F58" s="11">
        <f t="shared" ref="F58" si="23">SUM(G58:H58)</f>
        <v>15000000</v>
      </c>
      <c r="G58" s="12">
        <f t="shared" ref="G58" si="24">SUM(N58:R58)</f>
        <v>13500000</v>
      </c>
      <c r="H58" s="13">
        <f t="shared" ref="H58" si="25">SUM(I58:M58)</f>
        <v>1500000</v>
      </c>
      <c r="I58" s="11">
        <v>0</v>
      </c>
      <c r="J58" s="12">
        <v>0</v>
      </c>
      <c r="K58" s="12">
        <v>1500000</v>
      </c>
      <c r="L58" s="12">
        <v>0</v>
      </c>
      <c r="M58" s="13">
        <v>0</v>
      </c>
      <c r="N58" s="11">
        <v>0</v>
      </c>
      <c r="O58" s="12">
        <v>0</v>
      </c>
      <c r="P58" s="12">
        <v>13500000</v>
      </c>
      <c r="Q58" s="59">
        <v>0</v>
      </c>
      <c r="R58" s="13">
        <v>0</v>
      </c>
      <c r="S58" s="12">
        <v>0</v>
      </c>
      <c r="T58" s="12">
        <v>0</v>
      </c>
      <c r="U58" s="59">
        <v>13500000</v>
      </c>
      <c r="V58" s="13">
        <v>0</v>
      </c>
    </row>
    <row r="59" spans="1:22" s="270" customFormat="1" ht="60" x14ac:dyDescent="0.25">
      <c r="A59" s="51">
        <v>9</v>
      </c>
      <c r="B59" s="96" t="s">
        <v>187</v>
      </c>
      <c r="C59" s="14" t="s">
        <v>21</v>
      </c>
      <c r="D59" s="14" t="s">
        <v>109</v>
      </c>
      <c r="E59" s="77">
        <v>2018</v>
      </c>
      <c r="F59" s="11">
        <v>10300000</v>
      </c>
      <c r="G59" s="12">
        <f t="shared" ref="G59" si="26">F59*0.9</f>
        <v>9270000</v>
      </c>
      <c r="H59" s="13">
        <f t="shared" ref="H59" si="27">F59-G59</f>
        <v>1030000</v>
      </c>
      <c r="I59" s="11">
        <v>0</v>
      </c>
      <c r="J59" s="12">
        <v>0</v>
      </c>
      <c r="K59" s="12">
        <f>H59</f>
        <v>1030000</v>
      </c>
      <c r="L59" s="12">
        <v>0</v>
      </c>
      <c r="M59" s="13">
        <v>0</v>
      </c>
      <c r="N59" s="11">
        <v>0</v>
      </c>
      <c r="O59" s="12">
        <v>0</v>
      </c>
      <c r="P59" s="12">
        <f>G59</f>
        <v>9270000</v>
      </c>
      <c r="Q59" s="59">
        <v>0</v>
      </c>
      <c r="R59" s="13">
        <v>0</v>
      </c>
      <c r="S59" s="12">
        <v>0</v>
      </c>
      <c r="T59" s="12">
        <f>L59</f>
        <v>0</v>
      </c>
      <c r="U59" s="59">
        <f>P59</f>
        <v>9270000</v>
      </c>
      <c r="V59" s="13">
        <v>0</v>
      </c>
    </row>
    <row r="60" spans="1:22" ht="61.5" customHeight="1" x14ac:dyDescent="0.25">
      <c r="A60" s="51">
        <v>10</v>
      </c>
      <c r="B60" s="138" t="s">
        <v>139</v>
      </c>
      <c r="C60" s="162" t="s">
        <v>35</v>
      </c>
      <c r="D60" s="131" t="s">
        <v>40</v>
      </c>
      <c r="E60" s="132">
        <v>2018</v>
      </c>
      <c r="F60" s="133">
        <v>2000000</v>
      </c>
      <c r="G60" s="134">
        <f>F60*0.9</f>
        <v>1800000</v>
      </c>
      <c r="H60" s="135">
        <f>F60-G60</f>
        <v>200000</v>
      </c>
      <c r="I60" s="133">
        <v>0</v>
      </c>
      <c r="J60" s="134">
        <v>0</v>
      </c>
      <c r="K60" s="136">
        <f>H60</f>
        <v>200000</v>
      </c>
      <c r="L60" s="134">
        <v>0</v>
      </c>
      <c r="M60" s="135">
        <v>0</v>
      </c>
      <c r="N60" s="133">
        <v>0</v>
      </c>
      <c r="O60" s="136">
        <v>0</v>
      </c>
      <c r="P60" s="134">
        <f>G60</f>
        <v>1800000</v>
      </c>
      <c r="Q60" s="137">
        <v>0</v>
      </c>
      <c r="R60" s="135">
        <v>0</v>
      </c>
      <c r="S60" s="136">
        <v>0</v>
      </c>
      <c r="T60" s="134">
        <f t="shared" ref="T60" si="28">P60</f>
        <v>1800000</v>
      </c>
      <c r="U60" s="137">
        <v>0</v>
      </c>
      <c r="V60" s="135">
        <v>0</v>
      </c>
    </row>
    <row r="61" spans="1:22" s="270" customFormat="1" ht="64.5" customHeight="1" x14ac:dyDescent="0.25">
      <c r="A61" s="51">
        <v>11</v>
      </c>
      <c r="B61" s="164" t="s">
        <v>188</v>
      </c>
      <c r="C61" s="14" t="s">
        <v>21</v>
      </c>
      <c r="D61" s="14" t="s">
        <v>40</v>
      </c>
      <c r="E61" s="77">
        <v>2018</v>
      </c>
      <c r="F61" s="11">
        <v>6240000</v>
      </c>
      <c r="G61" s="12">
        <f>F61*0.9</f>
        <v>5616000</v>
      </c>
      <c r="H61" s="13">
        <f>F61-G61</f>
        <v>624000</v>
      </c>
      <c r="I61" s="11">
        <v>0</v>
      </c>
      <c r="J61" s="12">
        <v>0</v>
      </c>
      <c r="K61" s="12">
        <f>H61</f>
        <v>624000</v>
      </c>
      <c r="L61" s="12">
        <v>0</v>
      </c>
      <c r="M61" s="13">
        <v>0</v>
      </c>
      <c r="N61" s="11">
        <v>0</v>
      </c>
      <c r="O61" s="12">
        <v>0</v>
      </c>
      <c r="P61" s="12">
        <f>G61</f>
        <v>5616000</v>
      </c>
      <c r="Q61" s="59">
        <v>0</v>
      </c>
      <c r="R61" s="13">
        <v>0</v>
      </c>
      <c r="S61" s="12">
        <v>0</v>
      </c>
      <c r="T61" s="12">
        <f>P61</f>
        <v>5616000</v>
      </c>
      <c r="U61" s="59">
        <v>0</v>
      </c>
      <c r="V61" s="13">
        <v>0</v>
      </c>
    </row>
    <row r="62" spans="1:22" s="102" customFormat="1" ht="61.5" customHeight="1" thickBot="1" x14ac:dyDescent="0.3">
      <c r="A62" s="167">
        <v>12</v>
      </c>
      <c r="B62" s="179" t="s">
        <v>142</v>
      </c>
      <c r="C62" s="180" t="s">
        <v>35</v>
      </c>
      <c r="D62" s="181" t="s">
        <v>40</v>
      </c>
      <c r="E62" s="182">
        <v>2018</v>
      </c>
      <c r="F62" s="183">
        <v>3523405</v>
      </c>
      <c r="G62" s="184">
        <f t="shared" ref="G62" si="29">F62*0.9</f>
        <v>3171064.5</v>
      </c>
      <c r="H62" s="175">
        <f t="shared" ref="H62" si="30">F62-G62</f>
        <v>352340.5</v>
      </c>
      <c r="I62" s="183">
        <v>0</v>
      </c>
      <c r="J62" s="184">
        <v>0</v>
      </c>
      <c r="K62" s="184">
        <f t="shared" ref="K62" si="31">H62</f>
        <v>352340.5</v>
      </c>
      <c r="L62" s="184">
        <v>0</v>
      </c>
      <c r="M62" s="175">
        <v>0</v>
      </c>
      <c r="N62" s="183">
        <v>0</v>
      </c>
      <c r="O62" s="184">
        <v>0</v>
      </c>
      <c r="P62" s="184">
        <f t="shared" ref="P62" si="32">G62</f>
        <v>3171064.5</v>
      </c>
      <c r="Q62" s="185">
        <v>0</v>
      </c>
      <c r="R62" s="175">
        <v>0</v>
      </c>
      <c r="S62" s="184">
        <v>0</v>
      </c>
      <c r="T62" s="184">
        <f t="shared" ref="T62" si="33">P62</f>
        <v>3171064.5</v>
      </c>
      <c r="U62" s="185">
        <v>0</v>
      </c>
      <c r="V62" s="175">
        <v>0</v>
      </c>
    </row>
    <row r="63" spans="1:22" s="271" customFormat="1" ht="15.75" thickBot="1" x14ac:dyDescent="0.3">
      <c r="A63" s="463" t="s">
        <v>16</v>
      </c>
      <c r="B63" s="464"/>
      <c r="C63" s="464"/>
      <c r="D63" s="464"/>
      <c r="E63" s="465"/>
      <c r="F63" s="142">
        <f>SUM(F51:F62)</f>
        <v>263849488</v>
      </c>
      <c r="G63" s="142">
        <f t="shared" ref="G63:V63" si="34">SUM(G51:G62)</f>
        <v>236761564.5</v>
      </c>
      <c r="H63" s="142">
        <f t="shared" si="34"/>
        <v>27087923.5</v>
      </c>
      <c r="I63" s="142">
        <f t="shared" si="34"/>
        <v>816027.8</v>
      </c>
      <c r="J63" s="142">
        <f t="shared" si="34"/>
        <v>128962</v>
      </c>
      <c r="K63" s="142">
        <f t="shared" si="34"/>
        <v>19113733.699999999</v>
      </c>
      <c r="L63" s="142">
        <f t="shared" si="34"/>
        <v>7029200</v>
      </c>
      <c r="M63" s="142">
        <f t="shared" si="34"/>
        <v>0</v>
      </c>
      <c r="N63" s="142">
        <f t="shared" si="34"/>
        <v>314503.2</v>
      </c>
      <c r="O63" s="142">
        <f t="shared" si="34"/>
        <v>1497213</v>
      </c>
      <c r="P63" s="142">
        <f t="shared" si="34"/>
        <v>171692048.30000001</v>
      </c>
      <c r="Q63" s="142">
        <f t="shared" si="34"/>
        <v>63257800</v>
      </c>
      <c r="R63" s="142">
        <f t="shared" si="34"/>
        <v>0</v>
      </c>
      <c r="S63" s="142">
        <f t="shared" si="34"/>
        <v>0</v>
      </c>
      <c r="T63" s="142">
        <f t="shared" si="34"/>
        <v>94927093.5</v>
      </c>
      <c r="U63" s="142">
        <f t="shared" si="34"/>
        <v>141177300</v>
      </c>
      <c r="V63" s="142">
        <f t="shared" si="34"/>
        <v>0</v>
      </c>
    </row>
    <row r="64" spans="1:22" s="102" customFormat="1" ht="20.25" customHeight="1" thickBot="1" x14ac:dyDescent="0.3">
      <c r="A64" s="143"/>
      <c r="B64" s="428"/>
      <c r="C64" s="428"/>
      <c r="D64" s="428"/>
      <c r="E64" s="428"/>
      <c r="F64" s="428"/>
      <c r="G64" s="428"/>
      <c r="H64" s="428"/>
      <c r="I64" s="428"/>
      <c r="J64" s="428"/>
      <c r="K64" s="428"/>
      <c r="L64" s="428"/>
      <c r="M64" s="428"/>
      <c r="N64" s="428"/>
      <c r="O64" s="428"/>
      <c r="P64" s="428"/>
      <c r="Q64" s="428"/>
      <c r="R64" s="466"/>
      <c r="S64" s="143"/>
      <c r="T64" s="428"/>
      <c r="U64" s="428"/>
      <c r="V64" s="428"/>
    </row>
    <row r="65" spans="1:23" s="255" customFormat="1" ht="21" customHeight="1" thickBot="1" x14ac:dyDescent="0.3">
      <c r="A65" s="425" t="s">
        <v>91</v>
      </c>
      <c r="B65" s="426"/>
      <c r="C65" s="426"/>
      <c r="D65" s="426"/>
      <c r="E65" s="426"/>
      <c r="F65" s="426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7"/>
      <c r="S65" s="425"/>
      <c r="T65" s="426"/>
      <c r="U65" s="426"/>
      <c r="V65" s="426"/>
    </row>
    <row r="66" spans="1:23" ht="45" customHeight="1" thickBot="1" x14ac:dyDescent="0.3">
      <c r="A66" s="141">
        <v>1</v>
      </c>
      <c r="B66" s="145" t="s">
        <v>29</v>
      </c>
      <c r="C66" s="146" t="s">
        <v>7</v>
      </c>
      <c r="D66" s="146" t="s">
        <v>40</v>
      </c>
      <c r="E66" s="147" t="s">
        <v>25</v>
      </c>
      <c r="F66" s="148">
        <v>21224000</v>
      </c>
      <c r="G66" s="149">
        <v>18900000</v>
      </c>
      <c r="H66" s="150">
        <f>F66-G66</f>
        <v>2324000</v>
      </c>
      <c r="I66" s="148">
        <v>224000</v>
      </c>
      <c r="J66" s="115">
        <v>1100000</v>
      </c>
      <c r="K66" s="151">
        <v>1000000</v>
      </c>
      <c r="L66" s="149">
        <v>0</v>
      </c>
      <c r="M66" s="152">
        <v>0</v>
      </c>
      <c r="N66" s="153">
        <v>0</v>
      </c>
      <c r="O66" s="115">
        <v>9900000</v>
      </c>
      <c r="P66" s="149">
        <f>G66-O66</f>
        <v>9000000</v>
      </c>
      <c r="Q66" s="150">
        <v>0</v>
      </c>
      <c r="R66" s="152">
        <v>0</v>
      </c>
      <c r="S66" s="151">
        <v>0</v>
      </c>
      <c r="T66" s="149">
        <f>O66</f>
        <v>9900000</v>
      </c>
      <c r="U66" s="150">
        <f>P66</f>
        <v>9000000</v>
      </c>
      <c r="V66" s="152">
        <v>0</v>
      </c>
    </row>
    <row r="67" spans="1:23" s="272" customFormat="1" ht="15.75" thickBot="1" x14ac:dyDescent="0.3">
      <c r="A67" s="460" t="s">
        <v>16</v>
      </c>
      <c r="B67" s="461"/>
      <c r="C67" s="461"/>
      <c r="D67" s="461"/>
      <c r="E67" s="462"/>
      <c r="F67" s="154">
        <f t="shared" ref="F67:V67" si="35">SUM(F66:F66)</f>
        <v>21224000</v>
      </c>
      <c r="G67" s="154">
        <f t="shared" si="35"/>
        <v>18900000</v>
      </c>
      <c r="H67" s="154">
        <f t="shared" si="35"/>
        <v>2324000</v>
      </c>
      <c r="I67" s="154">
        <f t="shared" si="35"/>
        <v>224000</v>
      </c>
      <c r="J67" s="154">
        <f t="shared" si="35"/>
        <v>1100000</v>
      </c>
      <c r="K67" s="155">
        <f t="shared" si="35"/>
        <v>1000000</v>
      </c>
      <c r="L67" s="154">
        <f t="shared" si="35"/>
        <v>0</v>
      </c>
      <c r="M67" s="154">
        <f t="shared" si="35"/>
        <v>0</v>
      </c>
      <c r="N67" s="154">
        <f t="shared" si="35"/>
        <v>0</v>
      </c>
      <c r="O67" s="155">
        <f t="shared" si="35"/>
        <v>9900000</v>
      </c>
      <c r="P67" s="154">
        <f t="shared" si="35"/>
        <v>9000000</v>
      </c>
      <c r="Q67" s="154">
        <f t="shared" si="35"/>
        <v>0</v>
      </c>
      <c r="R67" s="156">
        <f t="shared" si="35"/>
        <v>0</v>
      </c>
      <c r="S67" s="156">
        <f t="shared" si="35"/>
        <v>0</v>
      </c>
      <c r="T67" s="156">
        <f t="shared" si="35"/>
        <v>9900000</v>
      </c>
      <c r="U67" s="156">
        <f t="shared" si="35"/>
        <v>9000000</v>
      </c>
      <c r="V67" s="156">
        <f t="shared" si="35"/>
        <v>0</v>
      </c>
    </row>
    <row r="68" spans="1:23" ht="15.75" thickBot="1" x14ac:dyDescent="0.3">
      <c r="W68" s="273"/>
    </row>
    <row r="69" spans="1:23" s="274" customFormat="1" ht="24" customHeight="1" thickBot="1" x14ac:dyDescent="0.3">
      <c r="A69" s="453" t="s">
        <v>16</v>
      </c>
      <c r="B69" s="454"/>
      <c r="C69" s="454"/>
      <c r="D69" s="454"/>
      <c r="E69" s="455"/>
      <c r="F69" s="157">
        <f t="shared" ref="F69:V69" si="36">F20+F35+F41+F48+F63+F67</f>
        <v>2039423991.25</v>
      </c>
      <c r="G69" s="157">
        <f t="shared" si="36"/>
        <v>1736864393.5</v>
      </c>
      <c r="H69" s="157">
        <f t="shared" si="36"/>
        <v>302559597.75</v>
      </c>
      <c r="I69" s="157">
        <f t="shared" si="36"/>
        <v>5436171.0499999998</v>
      </c>
      <c r="J69" s="157">
        <f t="shared" si="36"/>
        <v>29570752</v>
      </c>
      <c r="K69" s="158">
        <f t="shared" si="36"/>
        <v>113368493.7</v>
      </c>
      <c r="L69" s="157">
        <f t="shared" si="36"/>
        <v>144812181</v>
      </c>
      <c r="M69" s="157">
        <f t="shared" si="36"/>
        <v>3175000</v>
      </c>
      <c r="N69" s="157">
        <f t="shared" si="36"/>
        <v>314503.2</v>
      </c>
      <c r="O69" s="158">
        <f t="shared" si="36"/>
        <v>109712513</v>
      </c>
      <c r="P69" s="157">
        <f t="shared" si="36"/>
        <v>955497048.29999995</v>
      </c>
      <c r="Q69" s="157">
        <f t="shared" si="36"/>
        <v>507952329</v>
      </c>
      <c r="R69" s="159">
        <f t="shared" si="36"/>
        <v>145825000</v>
      </c>
      <c r="S69" s="158">
        <f t="shared" si="36"/>
        <v>73690000</v>
      </c>
      <c r="T69" s="157">
        <f t="shared" si="36"/>
        <v>367976093.5</v>
      </c>
      <c r="U69" s="157">
        <f t="shared" si="36"/>
        <v>936956729</v>
      </c>
      <c r="V69" s="159">
        <f t="shared" si="36"/>
        <v>340021400</v>
      </c>
    </row>
  </sheetData>
  <mergeCells count="32">
    <mergeCell ref="A69:E69"/>
    <mergeCell ref="A37:R37"/>
    <mergeCell ref="A41:E41"/>
    <mergeCell ref="A42:R42"/>
    <mergeCell ref="A48:E48"/>
    <mergeCell ref="A50:R50"/>
    <mergeCell ref="A67:E67"/>
    <mergeCell ref="A63:E63"/>
    <mergeCell ref="A65:R65"/>
    <mergeCell ref="B64:R64"/>
    <mergeCell ref="B1:R1"/>
    <mergeCell ref="A4:A5"/>
    <mergeCell ref="B4:B5"/>
    <mergeCell ref="C4:C5"/>
    <mergeCell ref="D4:D5"/>
    <mergeCell ref="E4:E5"/>
    <mergeCell ref="F4:F5"/>
    <mergeCell ref="G4:G5"/>
    <mergeCell ref="H4:H5"/>
    <mergeCell ref="I4:M4"/>
    <mergeCell ref="A34:V34"/>
    <mergeCell ref="T64:V64"/>
    <mergeCell ref="S65:V65"/>
    <mergeCell ref="S4:V4"/>
    <mergeCell ref="S37:V37"/>
    <mergeCell ref="S50:T50"/>
    <mergeCell ref="A22:V22"/>
    <mergeCell ref="A32:E32"/>
    <mergeCell ref="N4:R4"/>
    <mergeCell ref="A6:R6"/>
    <mergeCell ref="A20:E20"/>
    <mergeCell ref="A35:E35"/>
  </mergeCells>
  <pageMargins left="0.35433070866141736" right="0.23622047244094491" top="0.59055118110236227" bottom="0.59055118110236227" header="0.31496062992125984" footer="0.31496062992125984"/>
  <pageSetup paperSize="8" scale="54" firstPageNumber="3" fitToHeight="0" orientation="landscape" r:id="rId1"/>
  <headerFooter>
    <oddFooter>&amp;L&amp;"Arial,Obyčejné"&amp;10Zastupitelstvo Olomouckého kraje 27. 2. 2017 
43. - Rozpočet Olomouckého kraje 2017 – nové investice
Příloha č. 1: Projekty Olomouckého kraje spolufinancované z evropských fondů &amp;R&amp;"Arial,Obyčejné"&amp;10Strana &amp;P (celkem 45)</oddFooter>
  </headerFooter>
  <rowBreaks count="1" manualBreakCount="1">
    <brk id="48" max="2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Q90"/>
  <sheetViews>
    <sheetView view="pageBreakPreview" zoomScale="80" zoomScaleNormal="80" zoomScaleSheetLayoutView="80" workbookViewId="0">
      <pane ySplit="5" topLeftCell="A6" activePane="bottomLeft" state="frozen"/>
      <selection activeCell="B33" sqref="B33"/>
      <selection pane="bottomLeft" activeCell="B33" sqref="B33"/>
    </sheetView>
  </sheetViews>
  <sheetFormatPr defaultRowHeight="15" x14ac:dyDescent="0.25"/>
  <cols>
    <col min="1" max="1" width="7" style="99" customWidth="1"/>
    <col min="2" max="2" width="34" style="100" customWidth="1"/>
    <col min="3" max="3" width="10" style="99" customWidth="1"/>
    <col min="4" max="4" width="9.7109375" style="99" customWidth="1"/>
    <col min="5" max="5" width="13.42578125" style="275" customWidth="1"/>
    <col min="6" max="6" width="18.7109375" style="100" customWidth="1"/>
    <col min="7" max="7" width="18.28515625" style="100" customWidth="1"/>
    <col min="8" max="13" width="17.42578125" style="100" customWidth="1"/>
    <col min="14" max="14" width="15.42578125" style="103" customWidth="1"/>
    <col min="15" max="15" width="16.85546875" style="103" customWidth="1"/>
    <col min="16" max="16" width="16.42578125" style="103" customWidth="1"/>
    <col min="17" max="18" width="17.28515625" style="103" customWidth="1"/>
    <col min="19" max="19" width="16.85546875" style="103" customWidth="1"/>
    <col min="20" max="20" width="17" style="103" customWidth="1"/>
    <col min="21" max="22" width="17.28515625" style="103" customWidth="1"/>
    <col min="23" max="23" width="13.5703125" style="100" bestFit="1" customWidth="1"/>
    <col min="24" max="16384" width="9.140625" style="100"/>
  </cols>
  <sheetData>
    <row r="1" spans="1:29" ht="15.75" x14ac:dyDescent="0.25">
      <c r="B1" s="440" t="s">
        <v>11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264"/>
      <c r="S1" s="264"/>
      <c r="T1" s="264"/>
      <c r="U1" s="264"/>
      <c r="V1" s="264"/>
    </row>
    <row r="2" spans="1:29" x14ac:dyDescent="0.25">
      <c r="V2" s="103" t="s">
        <v>10</v>
      </c>
    </row>
    <row r="3" spans="1:29" ht="15.75" thickBot="1" x14ac:dyDescent="0.3"/>
    <row r="4" spans="1:29" s="266" customFormat="1" ht="15" customHeight="1" thickBot="1" x14ac:dyDescent="0.3">
      <c r="A4" s="449" t="s">
        <v>160</v>
      </c>
      <c r="B4" s="447" t="s">
        <v>0</v>
      </c>
      <c r="C4" s="447" t="s">
        <v>17</v>
      </c>
      <c r="D4" s="447" t="s">
        <v>38</v>
      </c>
      <c r="E4" s="447" t="s">
        <v>3</v>
      </c>
      <c r="F4" s="447" t="s">
        <v>1</v>
      </c>
      <c r="G4" s="447" t="s">
        <v>9</v>
      </c>
      <c r="H4" s="447" t="s">
        <v>2</v>
      </c>
      <c r="I4" s="481" t="s">
        <v>116</v>
      </c>
      <c r="J4" s="429"/>
      <c r="K4" s="429"/>
      <c r="L4" s="429"/>
      <c r="M4" s="445"/>
      <c r="N4" s="481" t="s">
        <v>112</v>
      </c>
      <c r="O4" s="429"/>
      <c r="P4" s="429"/>
      <c r="Q4" s="429"/>
      <c r="R4" s="429"/>
      <c r="S4" s="467" t="s">
        <v>113</v>
      </c>
      <c r="T4" s="468"/>
      <c r="U4" s="468"/>
      <c r="V4" s="469"/>
    </row>
    <row r="5" spans="1:29" s="266" customFormat="1" ht="43.5" customHeight="1" thickBot="1" x14ac:dyDescent="0.3">
      <c r="A5" s="450"/>
      <c r="B5" s="448"/>
      <c r="C5" s="448"/>
      <c r="D5" s="448"/>
      <c r="E5" s="448"/>
      <c r="F5" s="448"/>
      <c r="G5" s="448"/>
      <c r="H5" s="448"/>
      <c r="I5" s="261">
        <v>2016</v>
      </c>
      <c r="J5" s="261">
        <v>2017</v>
      </c>
      <c r="K5" s="261">
        <v>2018</v>
      </c>
      <c r="L5" s="261">
        <v>2019</v>
      </c>
      <c r="M5" s="261">
        <v>2020</v>
      </c>
      <c r="N5" s="261">
        <v>2016</v>
      </c>
      <c r="O5" s="261">
        <v>2017</v>
      </c>
      <c r="P5" s="276">
        <v>2018</v>
      </c>
      <c r="Q5" s="276">
        <v>2019</v>
      </c>
      <c r="R5" s="263">
        <v>2020</v>
      </c>
      <c r="S5" s="277">
        <v>2017</v>
      </c>
      <c r="T5" s="278">
        <v>2018</v>
      </c>
      <c r="U5" s="278">
        <v>2019</v>
      </c>
      <c r="V5" s="279">
        <v>2020</v>
      </c>
    </row>
    <row r="6" spans="1:29" s="266" customFormat="1" ht="21.75" customHeight="1" thickBot="1" x14ac:dyDescent="0.3">
      <c r="A6" s="476" t="s">
        <v>94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280"/>
      <c r="S6" s="124"/>
      <c r="T6" s="124"/>
      <c r="U6" s="124"/>
      <c r="V6" s="280"/>
    </row>
    <row r="7" spans="1:29" s="270" customFormat="1" x14ac:dyDescent="0.25">
      <c r="A7" s="166">
        <v>1</v>
      </c>
      <c r="B7" s="191" t="s">
        <v>20</v>
      </c>
      <c r="C7" s="192" t="s">
        <v>21</v>
      </c>
      <c r="D7" s="192" t="s">
        <v>40</v>
      </c>
      <c r="E7" s="193">
        <v>2017</v>
      </c>
      <c r="F7" s="194">
        <f>124858481.85</f>
        <v>124858481.84999999</v>
      </c>
      <c r="G7" s="195">
        <v>100827566.23</v>
      </c>
      <c r="H7" s="196">
        <f>F7-G7</f>
        <v>24030915.61999999</v>
      </c>
      <c r="I7" s="194">
        <f>1462314+60518.9</f>
        <v>1522832.9</v>
      </c>
      <c r="J7" s="195">
        <f>H7-I7</f>
        <v>22508082.719999991</v>
      </c>
      <c r="K7" s="195">
        <v>0</v>
      </c>
      <c r="L7" s="195">
        <v>0</v>
      </c>
      <c r="M7" s="196">
        <v>0</v>
      </c>
      <c r="N7" s="194">
        <v>544670.1</v>
      </c>
      <c r="O7" s="195">
        <f>G7-N7</f>
        <v>100282896.13000001</v>
      </c>
      <c r="P7" s="195">
        <v>0</v>
      </c>
      <c r="Q7" s="195">
        <v>0</v>
      </c>
      <c r="R7" s="197">
        <v>0</v>
      </c>
      <c r="S7" s="195">
        <v>51332000</v>
      </c>
      <c r="T7" s="195">
        <f>G7-S7</f>
        <v>49495566.230000004</v>
      </c>
      <c r="U7" s="195">
        <v>0</v>
      </c>
      <c r="V7" s="197">
        <v>0</v>
      </c>
    </row>
    <row r="8" spans="1:29" s="270" customFormat="1" ht="30" x14ac:dyDescent="0.25">
      <c r="A8" s="51">
        <v>2</v>
      </c>
      <c r="B8" s="43" t="s">
        <v>22</v>
      </c>
      <c r="C8" s="14" t="s">
        <v>21</v>
      </c>
      <c r="D8" s="14" t="s">
        <v>41</v>
      </c>
      <c r="E8" s="15" t="s">
        <v>25</v>
      </c>
      <c r="F8" s="11">
        <f>SUM(G8:H8)</f>
        <v>37116460.017000005</v>
      </c>
      <c r="G8" s="12">
        <f>SUM(N8:R8)</f>
        <v>32655355.305300001</v>
      </c>
      <c r="H8" s="59">
        <f>SUM(I8:M8)</f>
        <v>4461104.7117000036</v>
      </c>
      <c r="I8" s="11">
        <v>544960</v>
      </c>
      <c r="J8" s="12">
        <v>1487034.9039000012</v>
      </c>
      <c r="K8" s="12">
        <v>2429109.8078000024</v>
      </c>
      <c r="L8" s="12">
        <v>0</v>
      </c>
      <c r="M8" s="59">
        <v>0</v>
      </c>
      <c r="N8" s="11">
        <v>0</v>
      </c>
      <c r="O8" s="12">
        <v>10885118.4351</v>
      </c>
      <c r="P8" s="12">
        <v>21770236.870200001</v>
      </c>
      <c r="Q8" s="12">
        <v>0</v>
      </c>
      <c r="R8" s="13">
        <v>0</v>
      </c>
      <c r="S8" s="12">
        <v>0</v>
      </c>
      <c r="T8" s="12">
        <f>O8</f>
        <v>10885118.4351</v>
      </c>
      <c r="U8" s="12">
        <f>P8</f>
        <v>21770236.870200001</v>
      </c>
      <c r="V8" s="13">
        <v>0</v>
      </c>
    </row>
    <row r="9" spans="1:29" s="255" customFormat="1" ht="30" x14ac:dyDescent="0.25">
      <c r="A9" s="51">
        <v>3</v>
      </c>
      <c r="B9" s="43" t="s">
        <v>165</v>
      </c>
      <c r="C9" s="14" t="s">
        <v>35</v>
      </c>
      <c r="D9" s="14" t="s">
        <v>40</v>
      </c>
      <c r="E9" s="15">
        <v>2017</v>
      </c>
      <c r="F9" s="11">
        <v>40800000</v>
      </c>
      <c r="G9" s="12">
        <v>35550000</v>
      </c>
      <c r="H9" s="59">
        <f>F9-G9</f>
        <v>5250000</v>
      </c>
      <c r="I9" s="11">
        <v>0</v>
      </c>
      <c r="J9" s="12">
        <v>5250000</v>
      </c>
      <c r="K9" s="12">
        <v>0</v>
      </c>
      <c r="L9" s="12">
        <v>0</v>
      </c>
      <c r="M9" s="59">
        <v>0</v>
      </c>
      <c r="N9" s="11">
        <v>0</v>
      </c>
      <c r="O9" s="12">
        <v>33575000</v>
      </c>
      <c r="P9" s="12">
        <v>0</v>
      </c>
      <c r="Q9" s="12">
        <v>0</v>
      </c>
      <c r="R9" s="13">
        <v>0</v>
      </c>
      <c r="S9" s="12">
        <v>0</v>
      </c>
      <c r="T9" s="12">
        <f>O9</f>
        <v>33575000</v>
      </c>
      <c r="U9" s="12">
        <v>0</v>
      </c>
      <c r="V9" s="13">
        <v>0</v>
      </c>
    </row>
    <row r="10" spans="1:29" s="255" customFormat="1" ht="30" x14ac:dyDescent="0.25">
      <c r="A10" s="51">
        <v>4</v>
      </c>
      <c r="B10" s="43" t="s">
        <v>172</v>
      </c>
      <c r="C10" s="14" t="s">
        <v>35</v>
      </c>
      <c r="D10" s="14" t="s">
        <v>40</v>
      </c>
      <c r="E10" s="15">
        <v>2017</v>
      </c>
      <c r="F10" s="11">
        <v>10672000</v>
      </c>
      <c r="G10" s="12">
        <v>9360000</v>
      </c>
      <c r="H10" s="59">
        <f t="shared" ref="H10" si="0">F10-G10</f>
        <v>1312000</v>
      </c>
      <c r="I10" s="11">
        <v>0</v>
      </c>
      <c r="J10" s="12">
        <v>1312000</v>
      </c>
      <c r="K10" s="12">
        <v>0</v>
      </c>
      <c r="L10" s="12">
        <v>0</v>
      </c>
      <c r="M10" s="59">
        <v>0</v>
      </c>
      <c r="N10" s="11">
        <v>0</v>
      </c>
      <c r="O10" s="12">
        <v>8840000</v>
      </c>
      <c r="P10" s="12">
        <v>0</v>
      </c>
      <c r="Q10" s="12">
        <v>0</v>
      </c>
      <c r="R10" s="13">
        <v>0</v>
      </c>
      <c r="S10" s="12">
        <v>0</v>
      </c>
      <c r="T10" s="12">
        <f>O10</f>
        <v>8840000</v>
      </c>
      <c r="U10" s="12">
        <v>0</v>
      </c>
      <c r="V10" s="13">
        <v>0</v>
      </c>
      <c r="W10" s="281"/>
      <c r="X10" s="281"/>
    </row>
    <row r="11" spans="1:29" s="255" customFormat="1" ht="28.5" customHeight="1" x14ac:dyDescent="0.25">
      <c r="A11" s="51">
        <v>5</v>
      </c>
      <c r="B11" s="43" t="s">
        <v>156</v>
      </c>
      <c r="C11" s="14" t="s">
        <v>21</v>
      </c>
      <c r="D11" s="14" t="s">
        <v>40</v>
      </c>
      <c r="E11" s="77" t="s">
        <v>25</v>
      </c>
      <c r="F11" s="11">
        <f>SUM(G11:H11)</f>
        <v>237793634.19</v>
      </c>
      <c r="G11" s="12">
        <f>SUM(N11:R11)</f>
        <v>202163458.82999998</v>
      </c>
      <c r="H11" s="13">
        <f>SUM(I11:M11)</f>
        <v>35630175.359999999</v>
      </c>
      <c r="I11" s="11">
        <v>2170131</v>
      </c>
      <c r="J11" s="12">
        <v>11153348.119999999</v>
      </c>
      <c r="K11" s="12">
        <v>22306696.239999998</v>
      </c>
      <c r="L11" s="12">
        <v>0</v>
      </c>
      <c r="M11" s="13">
        <v>0</v>
      </c>
      <c r="N11" s="11">
        <v>0</v>
      </c>
      <c r="O11" s="12">
        <v>67387819.609999999</v>
      </c>
      <c r="P11" s="12">
        <v>134775639.22</v>
      </c>
      <c r="Q11" s="59">
        <v>0</v>
      </c>
      <c r="R11" s="13">
        <v>0</v>
      </c>
      <c r="S11" s="136">
        <v>75678000</v>
      </c>
      <c r="T11" s="136">
        <f>G11-S11</f>
        <v>126485458.82999998</v>
      </c>
      <c r="U11" s="59">
        <v>0</v>
      </c>
      <c r="V11" s="13">
        <v>0</v>
      </c>
    </row>
    <row r="12" spans="1:29" s="255" customFormat="1" ht="21.75" customHeight="1" x14ac:dyDescent="0.25">
      <c r="A12" s="51">
        <v>6</v>
      </c>
      <c r="B12" s="43" t="s">
        <v>75</v>
      </c>
      <c r="C12" s="14" t="s">
        <v>21</v>
      </c>
      <c r="D12" s="14" t="s">
        <v>40</v>
      </c>
      <c r="E12" s="77" t="s">
        <v>124</v>
      </c>
      <c r="F12" s="11">
        <f>SUM(G12:H12)</f>
        <v>218988339.91999999</v>
      </c>
      <c r="G12" s="12">
        <f>SUM(N12:R12)</f>
        <v>191208610.66999999</v>
      </c>
      <c r="H12" s="13">
        <f>SUM(I12:M12)</f>
        <v>27779729.25</v>
      </c>
      <c r="I12" s="11">
        <v>2471726.5</v>
      </c>
      <c r="J12" s="12">
        <f>(84981604.74*0.1)+1979906.03+102790</f>
        <v>10580856.503999999</v>
      </c>
      <c r="K12" s="12">
        <v>14727146.246000001</v>
      </c>
      <c r="L12" s="12">
        <v>0</v>
      </c>
      <c r="M12" s="13">
        <v>0</v>
      </c>
      <c r="N12" s="11">
        <v>0</v>
      </c>
      <c r="O12" s="12">
        <v>76483444.266000003</v>
      </c>
      <c r="P12" s="12">
        <v>114725166.40399998</v>
      </c>
      <c r="Q12" s="59">
        <v>0</v>
      </c>
      <c r="R12" s="13">
        <v>0</v>
      </c>
      <c r="S12" s="12">
        <v>47802000</v>
      </c>
      <c r="T12" s="12">
        <f>G12-S12</f>
        <v>143406610.66999999</v>
      </c>
      <c r="U12" s="59">
        <v>0</v>
      </c>
      <c r="V12" s="13">
        <v>0</v>
      </c>
    </row>
    <row r="13" spans="1:29" s="270" customFormat="1" ht="30" customHeight="1" thickBot="1" x14ac:dyDescent="0.3">
      <c r="A13" s="167">
        <v>7</v>
      </c>
      <c r="B13" s="176" t="s">
        <v>71</v>
      </c>
      <c r="C13" s="97" t="s">
        <v>21</v>
      </c>
      <c r="D13" s="97" t="s">
        <v>41</v>
      </c>
      <c r="E13" s="98" t="s">
        <v>36</v>
      </c>
      <c r="F13" s="117">
        <f>SUM(G13:H13)</f>
        <v>135009916.04100001</v>
      </c>
      <c r="G13" s="118">
        <f>SUM(N13:R13)</f>
        <v>96362972.433000013</v>
      </c>
      <c r="H13" s="163">
        <f>SUM(I13:M13)</f>
        <v>38646943.607999995</v>
      </c>
      <c r="I13" s="117">
        <v>2048429</v>
      </c>
      <c r="J13" s="118">
        <v>0</v>
      </c>
      <c r="K13" s="118">
        <v>19323471.803999998</v>
      </c>
      <c r="L13" s="118">
        <f>19323471.804-I13</f>
        <v>17275042.804000001</v>
      </c>
      <c r="M13" s="163">
        <v>0</v>
      </c>
      <c r="N13" s="117">
        <v>0</v>
      </c>
      <c r="O13" s="118">
        <v>0</v>
      </c>
      <c r="P13" s="118">
        <v>48181486.216500007</v>
      </c>
      <c r="Q13" s="118">
        <v>48181486.216500007</v>
      </c>
      <c r="R13" s="119">
        <v>0</v>
      </c>
      <c r="S13" s="118">
        <v>0</v>
      </c>
      <c r="T13" s="118">
        <f>P13/2</f>
        <v>24090743.108250003</v>
      </c>
      <c r="U13" s="118">
        <f>P13-T13</f>
        <v>24090743.108250003</v>
      </c>
      <c r="V13" s="119">
        <f>Q13</f>
        <v>48181486.216500007</v>
      </c>
      <c r="W13" s="282"/>
      <c r="X13" s="282"/>
      <c r="Y13" s="282"/>
      <c r="Z13" s="282"/>
      <c r="AA13" s="282"/>
      <c r="AB13" s="282"/>
      <c r="AC13" s="282"/>
    </row>
    <row r="14" spans="1:29" s="267" customFormat="1" ht="15.75" thickBot="1" x14ac:dyDescent="0.3">
      <c r="A14" s="457" t="s">
        <v>16</v>
      </c>
      <c r="B14" s="458"/>
      <c r="C14" s="458"/>
      <c r="D14" s="458"/>
      <c r="E14" s="478"/>
      <c r="F14" s="283">
        <f t="shared" ref="F14:V14" si="1">SUM(F7:F13)</f>
        <v>805238832.01800001</v>
      </c>
      <c r="G14" s="283">
        <f t="shared" si="1"/>
        <v>668127963.46829998</v>
      </c>
      <c r="H14" s="283">
        <f t="shared" si="1"/>
        <v>137110868.54969999</v>
      </c>
      <c r="I14" s="283">
        <f t="shared" si="1"/>
        <v>8758079.4000000004</v>
      </c>
      <c r="J14" s="283">
        <f t="shared" si="1"/>
        <v>52291322.247899994</v>
      </c>
      <c r="K14" s="283">
        <f t="shared" si="1"/>
        <v>58786424.097800002</v>
      </c>
      <c r="L14" s="283">
        <f t="shared" si="1"/>
        <v>17275042.804000001</v>
      </c>
      <c r="M14" s="283">
        <f t="shared" si="1"/>
        <v>0</v>
      </c>
      <c r="N14" s="283">
        <f t="shared" si="1"/>
        <v>544670.1</v>
      </c>
      <c r="O14" s="283">
        <f t="shared" si="1"/>
        <v>297454278.4411</v>
      </c>
      <c r="P14" s="283">
        <f t="shared" si="1"/>
        <v>319452528.71069998</v>
      </c>
      <c r="Q14" s="284">
        <f t="shared" si="1"/>
        <v>48181486.216500007</v>
      </c>
      <c r="R14" s="284">
        <f t="shared" si="1"/>
        <v>0</v>
      </c>
      <c r="S14" s="284">
        <f t="shared" si="1"/>
        <v>174812000</v>
      </c>
      <c r="T14" s="284">
        <f t="shared" si="1"/>
        <v>396778497.27335</v>
      </c>
      <c r="U14" s="284">
        <f t="shared" si="1"/>
        <v>45860979.97845</v>
      </c>
      <c r="V14" s="284">
        <f t="shared" si="1"/>
        <v>48181486.216500007</v>
      </c>
      <c r="W14" s="269"/>
      <c r="X14" s="269"/>
      <c r="Y14" s="269"/>
      <c r="Z14" s="269"/>
      <c r="AA14" s="269"/>
      <c r="AB14" s="269"/>
      <c r="AC14" s="269"/>
    </row>
    <row r="15" spans="1:29" s="270" customFormat="1" ht="23.25" customHeight="1" thickBot="1" x14ac:dyDescent="0.3">
      <c r="A15" s="479"/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204"/>
      <c r="S15" s="112"/>
      <c r="T15" s="112"/>
      <c r="U15" s="112"/>
      <c r="V15" s="112"/>
      <c r="W15" s="282"/>
      <c r="X15" s="282"/>
      <c r="Y15" s="282"/>
      <c r="Z15" s="282"/>
      <c r="AA15" s="282"/>
      <c r="AB15" s="282"/>
      <c r="AC15" s="282"/>
    </row>
    <row r="16" spans="1:29" s="255" customFormat="1" ht="21.75" customHeight="1" thickBot="1" x14ac:dyDescent="0.3">
      <c r="A16" s="425" t="s">
        <v>95</v>
      </c>
      <c r="B16" s="426"/>
      <c r="C16" s="426"/>
      <c r="D16" s="426"/>
      <c r="E16" s="426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426"/>
      <c r="U16" s="426"/>
      <c r="V16" s="427"/>
      <c r="W16" s="203"/>
      <c r="X16" s="203"/>
      <c r="Y16" s="203"/>
      <c r="Z16" s="203"/>
      <c r="AA16" s="203"/>
      <c r="AB16" s="203"/>
      <c r="AC16" s="203"/>
    </row>
    <row r="17" spans="1:95" s="270" customFormat="1" ht="15.75" thickBot="1" x14ac:dyDescent="0.3">
      <c r="A17" s="285"/>
      <c r="B17" s="286"/>
      <c r="C17" s="287"/>
      <c r="D17" s="287"/>
      <c r="E17" s="288"/>
      <c r="F17" s="289"/>
      <c r="G17" s="290"/>
      <c r="H17" s="291"/>
      <c r="I17" s="292"/>
      <c r="J17" s="290"/>
      <c r="K17" s="290"/>
      <c r="L17" s="291"/>
      <c r="M17" s="293"/>
      <c r="N17" s="289"/>
      <c r="O17" s="290"/>
      <c r="P17" s="290"/>
      <c r="Q17" s="290"/>
      <c r="R17" s="293"/>
      <c r="S17" s="290"/>
      <c r="T17" s="290"/>
      <c r="U17" s="290"/>
      <c r="V17" s="293"/>
    </row>
    <row r="18" spans="1:95" s="267" customFormat="1" ht="15.75" thickBot="1" x14ac:dyDescent="0.3">
      <c r="A18" s="434" t="s">
        <v>16</v>
      </c>
      <c r="B18" s="458"/>
      <c r="C18" s="458"/>
      <c r="D18" s="458"/>
      <c r="E18" s="478"/>
      <c r="F18" s="283">
        <f t="shared" ref="F18:V18" si="2">SUM(F17:F17)</f>
        <v>0</v>
      </c>
      <c r="G18" s="283">
        <f t="shared" si="2"/>
        <v>0</v>
      </c>
      <c r="H18" s="283">
        <f t="shared" si="2"/>
        <v>0</v>
      </c>
      <c r="I18" s="283">
        <f t="shared" si="2"/>
        <v>0</v>
      </c>
      <c r="J18" s="283">
        <f t="shared" si="2"/>
        <v>0</v>
      </c>
      <c r="K18" s="283">
        <f t="shared" si="2"/>
        <v>0</v>
      </c>
      <c r="L18" s="283">
        <f t="shared" si="2"/>
        <v>0</v>
      </c>
      <c r="M18" s="294">
        <f t="shared" si="2"/>
        <v>0</v>
      </c>
      <c r="N18" s="283">
        <f t="shared" si="2"/>
        <v>0</v>
      </c>
      <c r="O18" s="283">
        <f t="shared" si="2"/>
        <v>0</v>
      </c>
      <c r="P18" s="283">
        <f t="shared" si="2"/>
        <v>0</v>
      </c>
      <c r="Q18" s="283">
        <f t="shared" si="2"/>
        <v>0</v>
      </c>
      <c r="R18" s="283">
        <f t="shared" si="2"/>
        <v>0</v>
      </c>
      <c r="S18" s="283">
        <f t="shared" si="2"/>
        <v>0</v>
      </c>
      <c r="T18" s="283">
        <f t="shared" si="2"/>
        <v>0</v>
      </c>
      <c r="U18" s="283">
        <f t="shared" si="2"/>
        <v>0</v>
      </c>
      <c r="V18" s="283">
        <f t="shared" si="2"/>
        <v>0</v>
      </c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69"/>
      <c r="BW18" s="269"/>
      <c r="BX18" s="269"/>
      <c r="BY18" s="269"/>
      <c r="BZ18" s="269"/>
      <c r="CA18" s="269"/>
      <c r="CB18" s="269"/>
      <c r="CC18" s="269"/>
      <c r="CD18" s="269"/>
      <c r="CE18" s="269"/>
      <c r="CF18" s="269"/>
      <c r="CG18" s="269"/>
      <c r="CH18" s="269"/>
      <c r="CI18" s="269"/>
      <c r="CJ18" s="269"/>
      <c r="CK18" s="269"/>
      <c r="CL18" s="269"/>
      <c r="CM18" s="269"/>
      <c r="CN18" s="269"/>
      <c r="CO18" s="269"/>
      <c r="CP18" s="269"/>
      <c r="CQ18" s="269"/>
    </row>
    <row r="19" spans="1:95" s="268" customFormat="1" ht="15.75" thickBot="1" x14ac:dyDescent="0.3">
      <c r="A19" s="256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95"/>
      <c r="S19" s="257"/>
      <c r="T19" s="257"/>
      <c r="U19" s="257"/>
      <c r="V19" s="295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</row>
    <row r="20" spans="1:95" s="255" customFormat="1" ht="19.5" customHeight="1" thickBot="1" x14ac:dyDescent="0.3">
      <c r="A20" s="425" t="s">
        <v>99</v>
      </c>
      <c r="B20" s="426"/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257"/>
      <c r="S20" s="257"/>
      <c r="T20" s="257"/>
      <c r="U20" s="257"/>
      <c r="V20" s="257"/>
    </row>
    <row r="21" spans="1:95" s="270" customFormat="1" ht="45" x14ac:dyDescent="0.25">
      <c r="A21" s="166">
        <v>1</v>
      </c>
      <c r="B21" s="296" t="s">
        <v>123</v>
      </c>
      <c r="C21" s="192" t="s">
        <v>21</v>
      </c>
      <c r="D21" s="192" t="s">
        <v>40</v>
      </c>
      <c r="E21" s="193" t="s">
        <v>25</v>
      </c>
      <c r="F21" s="194">
        <f>SUM(G21:H21)</f>
        <v>64505520.759999998</v>
      </c>
      <c r="G21" s="195">
        <f>SUM(N21:R21)</f>
        <v>56975578</v>
      </c>
      <c r="H21" s="196">
        <f t="shared" ref="H21" si="3">SUM(I21:M21)</f>
        <v>7529942.7599999998</v>
      </c>
      <c r="I21" s="194">
        <f>0.1*3586436</f>
        <v>358643.60000000003</v>
      </c>
      <c r="J21" s="195">
        <v>3585649.58</v>
      </c>
      <c r="K21" s="195">
        <v>3585649.58</v>
      </c>
      <c r="L21" s="195">
        <v>0</v>
      </c>
      <c r="M21" s="197">
        <v>0</v>
      </c>
      <c r="N21" s="194">
        <f>0.9*3586436</f>
        <v>3227792.4</v>
      </c>
      <c r="O21" s="198">
        <v>26873892.800000001</v>
      </c>
      <c r="P21" s="195">
        <v>26873892.800000001</v>
      </c>
      <c r="Q21" s="195">
        <v>0</v>
      </c>
      <c r="R21" s="197">
        <v>0</v>
      </c>
      <c r="S21" s="198">
        <v>0</v>
      </c>
      <c r="T21" s="195">
        <f>O21</f>
        <v>26873892.800000001</v>
      </c>
      <c r="U21" s="195">
        <f>P21+3227792.4</f>
        <v>30101685.199999999</v>
      </c>
      <c r="V21" s="197">
        <v>0</v>
      </c>
      <c r="W21" s="297"/>
    </row>
    <row r="22" spans="1:95" s="270" customFormat="1" ht="30" x14ac:dyDescent="0.25">
      <c r="A22" s="186">
        <v>2</v>
      </c>
      <c r="B22" s="199" t="s">
        <v>24</v>
      </c>
      <c r="C22" s="94" t="s">
        <v>21</v>
      </c>
      <c r="D22" s="94" t="s">
        <v>40</v>
      </c>
      <c r="E22" s="200" t="s">
        <v>26</v>
      </c>
      <c r="F22" s="127">
        <f>SUM(G22:H22)</f>
        <v>123281317</v>
      </c>
      <c r="G22" s="108">
        <f>SUM(N22:R22)</f>
        <v>107477355.59999999</v>
      </c>
      <c r="H22" s="109">
        <f>SUM(I22:M22)</f>
        <v>15803961.399999999</v>
      </c>
      <c r="I22" s="127">
        <f>201901+157300</f>
        <v>359201</v>
      </c>
      <c r="J22" s="108">
        <f>4946555.2+23159</f>
        <v>4969714.2</v>
      </c>
      <c r="K22" s="108">
        <v>10075046.199999999</v>
      </c>
      <c r="L22" s="108">
        <v>400000</v>
      </c>
      <c r="M22" s="109">
        <v>0</v>
      </c>
      <c r="N22" s="127">
        <v>1817105</v>
      </c>
      <c r="O22" s="108">
        <f>33041818.8+208435</f>
        <v>33250253.800000001</v>
      </c>
      <c r="P22" s="108">
        <v>68809996.799999997</v>
      </c>
      <c r="Q22" s="108">
        <v>3600000</v>
      </c>
      <c r="R22" s="110">
        <v>0</v>
      </c>
      <c r="S22" s="108">
        <v>18604710.899999999</v>
      </c>
      <c r="T22" s="108">
        <v>65850591.600000001</v>
      </c>
      <c r="U22" s="108">
        <v>19422053.100000001</v>
      </c>
      <c r="V22" s="110">
        <v>3600000</v>
      </c>
    </row>
    <row r="23" spans="1:95" s="270" customFormat="1" ht="30.75" thickBot="1" x14ac:dyDescent="0.3">
      <c r="A23" s="167">
        <v>3</v>
      </c>
      <c r="B23" s="165" t="s">
        <v>27</v>
      </c>
      <c r="C23" s="97" t="s">
        <v>21</v>
      </c>
      <c r="D23" s="97" t="s">
        <v>40</v>
      </c>
      <c r="E23" s="98" t="s">
        <v>25</v>
      </c>
      <c r="F23" s="117">
        <f t="shared" ref="F23" si="4">SUM(G23:H23)</f>
        <v>48264000</v>
      </c>
      <c r="G23" s="118">
        <f t="shared" ref="G23" si="5">SUM(N23:R23)</f>
        <v>43068403</v>
      </c>
      <c r="H23" s="163">
        <f>SUM(I23:M23)</f>
        <v>5195597</v>
      </c>
      <c r="I23" s="117">
        <f>0.1*459985</f>
        <v>45998.5</v>
      </c>
      <c r="J23" s="118">
        <v>4635597</v>
      </c>
      <c r="K23" s="118">
        <f>560000-I23</f>
        <v>514001.5</v>
      </c>
      <c r="L23" s="118">
        <v>0</v>
      </c>
      <c r="M23" s="119">
        <v>0</v>
      </c>
      <c r="N23" s="117">
        <f>0.9*459985</f>
        <v>413986.5</v>
      </c>
      <c r="O23" s="118">
        <v>39789686</v>
      </c>
      <c r="P23" s="118">
        <f>3278717-N23</f>
        <v>2864730.5</v>
      </c>
      <c r="Q23" s="118">
        <v>0</v>
      </c>
      <c r="R23" s="119">
        <v>0</v>
      </c>
      <c r="S23" s="118">
        <v>20002806</v>
      </c>
      <c r="T23" s="118">
        <f>G23-S23</f>
        <v>23065597</v>
      </c>
      <c r="U23" s="118">
        <v>0</v>
      </c>
      <c r="V23" s="119">
        <v>0</v>
      </c>
    </row>
    <row r="24" spans="1:95" s="267" customFormat="1" ht="15.75" thickBot="1" x14ac:dyDescent="0.3">
      <c r="A24" s="434" t="s">
        <v>16</v>
      </c>
      <c r="B24" s="435"/>
      <c r="C24" s="435"/>
      <c r="D24" s="435"/>
      <c r="E24" s="436"/>
      <c r="F24" s="122">
        <f t="shared" ref="F24:L24" si="6">SUM(F21:F23)</f>
        <v>236050837.75999999</v>
      </c>
      <c r="G24" s="122">
        <f t="shared" si="6"/>
        <v>207521336.59999999</v>
      </c>
      <c r="H24" s="122">
        <f t="shared" si="6"/>
        <v>28529501.159999996</v>
      </c>
      <c r="I24" s="122">
        <f t="shared" si="6"/>
        <v>763843.10000000009</v>
      </c>
      <c r="J24" s="122">
        <f t="shared" si="6"/>
        <v>13190960.780000001</v>
      </c>
      <c r="K24" s="122">
        <f t="shared" si="6"/>
        <v>14174697.279999999</v>
      </c>
      <c r="L24" s="122">
        <f t="shared" si="6"/>
        <v>400000</v>
      </c>
      <c r="M24" s="122">
        <f>SUM(M23:M23)</f>
        <v>0</v>
      </c>
      <c r="N24" s="122">
        <f>SUM(N21:N23)</f>
        <v>5458883.9000000004</v>
      </c>
      <c r="O24" s="122">
        <f>SUM(O21:O23)</f>
        <v>99913832.599999994</v>
      </c>
      <c r="P24" s="122">
        <f>SUM(P21:P23)</f>
        <v>98548620.099999994</v>
      </c>
      <c r="Q24" s="122">
        <f>SUM(Q21:Q23)</f>
        <v>3600000</v>
      </c>
      <c r="R24" s="122">
        <f>SUM(R23:R23)</f>
        <v>0</v>
      </c>
      <c r="S24" s="122">
        <f>SUM(S21:S23)</f>
        <v>38607516.899999999</v>
      </c>
      <c r="T24" s="122">
        <f>SUM(T21:T23)</f>
        <v>115790081.40000001</v>
      </c>
      <c r="U24" s="122">
        <f>SUM(U21:U23)</f>
        <v>49523738.299999997</v>
      </c>
      <c r="V24" s="122">
        <f>SUM(V21:V23)</f>
        <v>3600000</v>
      </c>
    </row>
    <row r="25" spans="1:95" s="270" customFormat="1" ht="15.75" thickBot="1" x14ac:dyDescent="0.3">
      <c r="A25" s="472"/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4"/>
      <c r="S25" s="474"/>
      <c r="T25" s="474"/>
      <c r="U25" s="474"/>
      <c r="V25" s="475"/>
    </row>
    <row r="26" spans="1:95" s="255" customFormat="1" ht="21.75" customHeight="1" thickBot="1" x14ac:dyDescent="0.3">
      <c r="A26" s="425" t="s">
        <v>96</v>
      </c>
      <c r="B26" s="426"/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7"/>
      <c r="R26" s="298"/>
      <c r="S26" s="298"/>
      <c r="T26" s="298"/>
      <c r="U26" s="298"/>
      <c r="V26" s="298"/>
    </row>
    <row r="27" spans="1:95" s="255" customFormat="1" ht="30" x14ac:dyDescent="0.25">
      <c r="A27" s="186">
        <v>1</v>
      </c>
      <c r="B27" s="201" t="s">
        <v>82</v>
      </c>
      <c r="C27" s="94" t="s">
        <v>21</v>
      </c>
      <c r="D27" s="94" t="s">
        <v>39</v>
      </c>
      <c r="E27" s="95">
        <v>2018</v>
      </c>
      <c r="F27" s="127">
        <f>SUM(G27:H27)</f>
        <v>8800964.4000000004</v>
      </c>
      <c r="G27" s="108">
        <f>SUM(N27:R27)</f>
        <v>1760327.36</v>
      </c>
      <c r="H27" s="110">
        <f>SUM(I27:M27)</f>
        <v>7040637.04</v>
      </c>
      <c r="I27" s="127">
        <f>170005*0.4</f>
        <v>68002</v>
      </c>
      <c r="J27" s="108">
        <v>0</v>
      </c>
      <c r="K27" s="108">
        <f>2*3520318.52-I27</f>
        <v>6972635.04</v>
      </c>
      <c r="L27" s="108"/>
      <c r="M27" s="110">
        <v>0</v>
      </c>
      <c r="N27" s="127">
        <f>170005*0.6</f>
        <v>102003</v>
      </c>
      <c r="O27" s="108">
        <v>0</v>
      </c>
      <c r="P27" s="108">
        <f>1760327.36-N27</f>
        <v>1658324.36</v>
      </c>
      <c r="Q27" s="108"/>
      <c r="R27" s="110">
        <v>0</v>
      </c>
      <c r="S27" s="108">
        <v>0</v>
      </c>
      <c r="T27" s="108">
        <f>P27</f>
        <v>1658324.36</v>
      </c>
      <c r="U27" s="108">
        <f>Q27</f>
        <v>0</v>
      </c>
      <c r="V27" s="110">
        <v>0</v>
      </c>
    </row>
    <row r="28" spans="1:95" s="270" customFormat="1" ht="30" customHeight="1" x14ac:dyDescent="0.25">
      <c r="A28" s="186">
        <v>2</v>
      </c>
      <c r="B28" s="202" t="s">
        <v>120</v>
      </c>
      <c r="C28" s="94" t="s">
        <v>21</v>
      </c>
      <c r="D28" s="94" t="s">
        <v>39</v>
      </c>
      <c r="E28" s="95">
        <v>2018</v>
      </c>
      <c r="F28" s="127">
        <f t="shared" ref="F28:F29" si="7">SUM(G28:H28)</f>
        <v>3393872</v>
      </c>
      <c r="G28" s="108">
        <f t="shared" ref="G28:G29" si="8">SUM(N28:R28)</f>
        <v>815443.2</v>
      </c>
      <c r="H28" s="110">
        <f>SUM(I28:M28)</f>
        <v>2578428.7999999998</v>
      </c>
      <c r="I28" s="127">
        <f>90409.72*0.4</f>
        <v>36163.887999999999</v>
      </c>
      <c r="J28" s="108">
        <v>0</v>
      </c>
      <c r="K28" s="108">
        <f>1289214.4+1289214.4-I28</f>
        <v>2542264.912</v>
      </c>
      <c r="L28" s="108"/>
      <c r="M28" s="110"/>
      <c r="N28" s="127">
        <f>90409.72*0.6</f>
        <v>54245.832000000002</v>
      </c>
      <c r="O28" s="108">
        <v>0</v>
      </c>
      <c r="P28" s="108">
        <f>815443.2-N28</f>
        <v>761197.3679999999</v>
      </c>
      <c r="Q28" s="109"/>
      <c r="R28" s="110">
        <v>0</v>
      </c>
      <c r="S28" s="108">
        <v>0</v>
      </c>
      <c r="T28" s="108">
        <f>P28</f>
        <v>761197.3679999999</v>
      </c>
      <c r="U28" s="109">
        <f>Q28</f>
        <v>0</v>
      </c>
      <c r="V28" s="110">
        <v>0</v>
      </c>
    </row>
    <row r="29" spans="1:95" s="270" customFormat="1" ht="30" customHeight="1" x14ac:dyDescent="0.25">
      <c r="A29" s="51">
        <v>3</v>
      </c>
      <c r="B29" s="203" t="s">
        <v>121</v>
      </c>
      <c r="C29" s="204" t="s">
        <v>21</v>
      </c>
      <c r="D29" s="94" t="s">
        <v>39</v>
      </c>
      <c r="E29" s="205">
        <v>2018</v>
      </c>
      <c r="F29" s="206">
        <f t="shared" si="7"/>
        <v>1362761</v>
      </c>
      <c r="G29" s="207">
        <f t="shared" si="8"/>
        <v>324764</v>
      </c>
      <c r="H29" s="208">
        <f t="shared" ref="H29" si="9">SUM(I29:M29)</f>
        <v>1037997</v>
      </c>
      <c r="I29" s="206">
        <f>42168.5*0.4</f>
        <v>16867.400000000001</v>
      </c>
      <c r="J29" s="207">
        <v>0</v>
      </c>
      <c r="K29" s="207">
        <f>2*518998.5-I29</f>
        <v>1021129.6</v>
      </c>
      <c r="L29" s="207"/>
      <c r="M29" s="208"/>
      <c r="N29" s="206">
        <f>42168.5*0.6</f>
        <v>25301.1</v>
      </c>
      <c r="O29" s="207">
        <v>0</v>
      </c>
      <c r="P29" s="207">
        <f>324764-N29</f>
        <v>299462.90000000002</v>
      </c>
      <c r="Q29" s="209">
        <v>0</v>
      </c>
      <c r="R29" s="208">
        <v>0</v>
      </c>
      <c r="S29" s="207">
        <v>0</v>
      </c>
      <c r="T29" s="207">
        <v>299462.90000000002</v>
      </c>
      <c r="U29" s="209">
        <v>0</v>
      </c>
      <c r="V29" s="208">
        <v>0</v>
      </c>
    </row>
    <row r="30" spans="1:95" s="270" customFormat="1" ht="23.25" customHeight="1" thickBot="1" x14ac:dyDescent="0.3">
      <c r="A30" s="168">
        <v>4</v>
      </c>
      <c r="B30" s="210" t="s">
        <v>31</v>
      </c>
      <c r="C30" s="14" t="s">
        <v>7</v>
      </c>
      <c r="D30" s="14" t="s">
        <v>42</v>
      </c>
      <c r="E30" s="77" t="s">
        <v>25</v>
      </c>
      <c r="F30" s="211">
        <v>10000000</v>
      </c>
      <c r="G30" s="12">
        <v>8500000</v>
      </c>
      <c r="H30" s="59">
        <v>1500000</v>
      </c>
      <c r="I30" s="117">
        <v>0</v>
      </c>
      <c r="J30" s="118">
        <v>1200000</v>
      </c>
      <c r="K30" s="118">
        <v>300000</v>
      </c>
      <c r="L30" s="163">
        <v>0</v>
      </c>
      <c r="M30" s="119">
        <v>0</v>
      </c>
      <c r="N30" s="117">
        <v>0</v>
      </c>
      <c r="O30" s="118">
        <v>8000000</v>
      </c>
      <c r="P30" s="118">
        <v>500000</v>
      </c>
      <c r="Q30" s="163">
        <v>0</v>
      </c>
      <c r="R30" s="119">
        <v>0</v>
      </c>
      <c r="S30" s="118">
        <v>0</v>
      </c>
      <c r="T30" s="118">
        <f>O30</f>
        <v>8000000</v>
      </c>
      <c r="U30" s="163">
        <f>P30</f>
        <v>500000</v>
      </c>
      <c r="V30" s="119">
        <v>0</v>
      </c>
    </row>
    <row r="31" spans="1:95" s="272" customFormat="1" ht="15.75" customHeight="1" thickBot="1" x14ac:dyDescent="0.3">
      <c r="A31" s="460" t="s">
        <v>16</v>
      </c>
      <c r="B31" s="461"/>
      <c r="C31" s="461"/>
      <c r="D31" s="461"/>
      <c r="E31" s="482"/>
      <c r="F31" s="299">
        <f>SUM(F27:F30)</f>
        <v>23557597.399999999</v>
      </c>
      <c r="G31" s="299">
        <f t="shared" ref="G31:V31" si="10">SUM(G27:G30)</f>
        <v>11400534.560000001</v>
      </c>
      <c r="H31" s="299">
        <f t="shared" si="10"/>
        <v>12157062.84</v>
      </c>
      <c r="I31" s="299">
        <f t="shared" si="10"/>
        <v>121033.288</v>
      </c>
      <c r="J31" s="299">
        <f t="shared" si="10"/>
        <v>1200000</v>
      </c>
      <c r="K31" s="299">
        <f t="shared" si="10"/>
        <v>10836029.551999999</v>
      </c>
      <c r="L31" s="299">
        <f t="shared" si="10"/>
        <v>0</v>
      </c>
      <c r="M31" s="299">
        <f t="shared" si="10"/>
        <v>0</v>
      </c>
      <c r="N31" s="299">
        <f t="shared" si="10"/>
        <v>181549.932</v>
      </c>
      <c r="O31" s="299">
        <f t="shared" si="10"/>
        <v>8000000</v>
      </c>
      <c r="P31" s="299">
        <f t="shared" si="10"/>
        <v>3218984.628</v>
      </c>
      <c r="Q31" s="299">
        <f t="shared" si="10"/>
        <v>0</v>
      </c>
      <c r="R31" s="299">
        <f t="shared" si="10"/>
        <v>0</v>
      </c>
      <c r="S31" s="299">
        <f t="shared" si="10"/>
        <v>0</v>
      </c>
      <c r="T31" s="299">
        <f t="shared" si="10"/>
        <v>10718984.628</v>
      </c>
      <c r="U31" s="299">
        <f t="shared" si="10"/>
        <v>500000</v>
      </c>
      <c r="V31" s="299">
        <f t="shared" si="10"/>
        <v>0</v>
      </c>
    </row>
    <row r="32" spans="1:95" s="266" customFormat="1" ht="21.75" customHeight="1" thickBot="1" x14ac:dyDescent="0.3">
      <c r="A32" s="488" t="s">
        <v>89</v>
      </c>
      <c r="B32" s="489"/>
      <c r="C32" s="489"/>
      <c r="D32" s="489"/>
      <c r="E32" s="489"/>
      <c r="F32" s="489"/>
      <c r="G32" s="489"/>
      <c r="H32" s="489"/>
      <c r="I32" s="477"/>
      <c r="J32" s="477"/>
      <c r="K32" s="477"/>
      <c r="L32" s="477"/>
      <c r="M32" s="477"/>
      <c r="N32" s="489"/>
      <c r="O32" s="489"/>
      <c r="P32" s="489"/>
      <c r="Q32" s="489"/>
      <c r="R32" s="300"/>
      <c r="S32" s="300"/>
      <c r="T32" s="300"/>
      <c r="U32" s="300"/>
      <c r="V32" s="300"/>
    </row>
    <row r="33" spans="1:22" s="102" customFormat="1" ht="60" x14ac:dyDescent="0.25">
      <c r="A33" s="166">
        <v>1</v>
      </c>
      <c r="B33" s="212" t="s">
        <v>72</v>
      </c>
      <c r="C33" s="192" t="s">
        <v>21</v>
      </c>
      <c r="D33" s="192" t="s">
        <v>40</v>
      </c>
      <c r="E33" s="193">
        <v>2016</v>
      </c>
      <c r="F33" s="194">
        <f>SUM(G33:H33)</f>
        <v>15848090</v>
      </c>
      <c r="G33" s="195">
        <f>SUM(N33:R33)</f>
        <v>13741500</v>
      </c>
      <c r="H33" s="196">
        <f>SUM(I33:M33)</f>
        <v>2106590</v>
      </c>
      <c r="I33" s="194">
        <f>582750+1056840</f>
        <v>1639590</v>
      </c>
      <c r="J33" s="195">
        <f>243000+119000+105000</f>
        <v>467000</v>
      </c>
      <c r="K33" s="195">
        <v>0</v>
      </c>
      <c r="L33" s="195">
        <v>0</v>
      </c>
      <c r="M33" s="197">
        <v>0</v>
      </c>
      <c r="N33" s="198">
        <f>9906750+582750</f>
        <v>10489500</v>
      </c>
      <c r="O33" s="195">
        <f>2061000+121000+1011000+59000</f>
        <v>3252000</v>
      </c>
      <c r="P33" s="195">
        <v>0</v>
      </c>
      <c r="Q33" s="195">
        <v>0</v>
      </c>
      <c r="R33" s="196">
        <v>0</v>
      </c>
      <c r="S33" s="194">
        <f>N33+O33</f>
        <v>13741500</v>
      </c>
      <c r="T33" s="195">
        <v>0</v>
      </c>
      <c r="U33" s="195">
        <v>0</v>
      </c>
      <c r="V33" s="197">
        <v>0</v>
      </c>
    </row>
    <row r="34" spans="1:22" s="266" customFormat="1" ht="77.25" customHeight="1" x14ac:dyDescent="0.25">
      <c r="A34" s="51">
        <v>2</v>
      </c>
      <c r="B34" s="96" t="s">
        <v>119</v>
      </c>
      <c r="C34" s="14" t="s">
        <v>7</v>
      </c>
      <c r="D34" s="14" t="s">
        <v>46</v>
      </c>
      <c r="E34" s="15" t="s">
        <v>26</v>
      </c>
      <c r="F34" s="11">
        <v>18384010.800000001</v>
      </c>
      <c r="G34" s="12">
        <f>F34*0.95</f>
        <v>17464810.260000002</v>
      </c>
      <c r="H34" s="59">
        <f>F34-G34</f>
        <v>919200.53999999911</v>
      </c>
      <c r="I34" s="11">
        <v>0</v>
      </c>
      <c r="J34" s="12">
        <v>264285</v>
      </c>
      <c r="K34" s="12">
        <v>317142</v>
      </c>
      <c r="L34" s="12">
        <v>317142</v>
      </c>
      <c r="M34" s="13">
        <f>H34-J34-K34-L34</f>
        <v>20631.539999999106</v>
      </c>
      <c r="N34" s="211">
        <v>0</v>
      </c>
      <c r="O34" s="12">
        <v>0</v>
      </c>
      <c r="P34" s="12">
        <v>0</v>
      </c>
      <c r="Q34" s="12">
        <v>0</v>
      </c>
      <c r="R34" s="59">
        <v>0</v>
      </c>
      <c r="S34" s="11">
        <v>0</v>
      </c>
      <c r="T34" s="12">
        <v>0</v>
      </c>
      <c r="U34" s="12">
        <v>0</v>
      </c>
      <c r="V34" s="13">
        <v>0</v>
      </c>
    </row>
    <row r="35" spans="1:22" s="255" customFormat="1" ht="45" x14ac:dyDescent="0.25">
      <c r="A35" s="51">
        <v>3</v>
      </c>
      <c r="B35" s="96" t="s">
        <v>32</v>
      </c>
      <c r="C35" s="14" t="s">
        <v>21</v>
      </c>
      <c r="D35" s="14" t="s">
        <v>40</v>
      </c>
      <c r="E35" s="15" t="s">
        <v>25</v>
      </c>
      <c r="F35" s="11">
        <f t="shared" ref="F35:F36" si="11">SUM(G35:H35)</f>
        <v>20908650</v>
      </c>
      <c r="G35" s="12">
        <f t="shared" ref="G35:G36" si="12">SUM(N35:R35)</f>
        <v>18243000</v>
      </c>
      <c r="H35" s="59">
        <f t="shared" ref="H35:H36" si="13">SUM(I35:M35)</f>
        <v>2665650</v>
      </c>
      <c r="I35" s="11">
        <v>513650</v>
      </c>
      <c r="J35" s="12">
        <f>1013500+125000</f>
        <v>1138500</v>
      </c>
      <c r="K35" s="12">
        <v>1013500</v>
      </c>
      <c r="L35" s="12">
        <v>0</v>
      </c>
      <c r="M35" s="13">
        <v>0</v>
      </c>
      <c r="N35" s="211">
        <v>0</v>
      </c>
      <c r="O35" s="12">
        <v>9121500</v>
      </c>
      <c r="P35" s="12">
        <v>9121500</v>
      </c>
      <c r="Q35" s="12">
        <v>0</v>
      </c>
      <c r="R35" s="59">
        <v>0</v>
      </c>
      <c r="S35" s="11">
        <v>0</v>
      </c>
      <c r="T35" s="12">
        <f>O35</f>
        <v>9121500</v>
      </c>
      <c r="U35" s="12">
        <f>P35</f>
        <v>9121500</v>
      </c>
      <c r="V35" s="13">
        <v>0</v>
      </c>
    </row>
    <row r="36" spans="1:22" s="255" customFormat="1" ht="30.75" thickBot="1" x14ac:dyDescent="0.3">
      <c r="A36" s="167">
        <v>4</v>
      </c>
      <c r="B36" s="165" t="s">
        <v>33</v>
      </c>
      <c r="C36" s="97" t="s">
        <v>21</v>
      </c>
      <c r="D36" s="97" t="s">
        <v>40</v>
      </c>
      <c r="E36" s="98" t="s">
        <v>25</v>
      </c>
      <c r="F36" s="117">
        <f t="shared" si="11"/>
        <v>10425572</v>
      </c>
      <c r="G36" s="118">
        <f t="shared" si="12"/>
        <v>8883000</v>
      </c>
      <c r="H36" s="163">
        <f t="shared" si="13"/>
        <v>1542572</v>
      </c>
      <c r="I36" s="117">
        <v>285606.48</v>
      </c>
      <c r="J36" s="118">
        <f>493500+269965.52</f>
        <v>763465.52</v>
      </c>
      <c r="K36" s="118">
        <v>493500</v>
      </c>
      <c r="L36" s="118">
        <v>0</v>
      </c>
      <c r="M36" s="119">
        <v>0</v>
      </c>
      <c r="N36" s="221">
        <v>0</v>
      </c>
      <c r="O36" s="118">
        <v>4441500</v>
      </c>
      <c r="P36" s="118">
        <v>4441500</v>
      </c>
      <c r="Q36" s="118">
        <v>0</v>
      </c>
      <c r="R36" s="163">
        <v>0</v>
      </c>
      <c r="S36" s="117">
        <v>0</v>
      </c>
      <c r="T36" s="118">
        <f>O36</f>
        <v>4441500</v>
      </c>
      <c r="U36" s="118">
        <f>P36</f>
        <v>4441500</v>
      </c>
      <c r="V36" s="119">
        <v>0</v>
      </c>
    </row>
    <row r="37" spans="1:22" s="272" customFormat="1" ht="15.75" thickBot="1" x14ac:dyDescent="0.3">
      <c r="A37" s="490" t="s">
        <v>16</v>
      </c>
      <c r="B37" s="491"/>
      <c r="C37" s="491"/>
      <c r="D37" s="491"/>
      <c r="E37" s="492"/>
      <c r="F37" s="301">
        <f t="shared" ref="F37:V37" si="14">SUM(F33:F36)</f>
        <v>65566322.799999997</v>
      </c>
      <c r="G37" s="301">
        <f t="shared" si="14"/>
        <v>58332310.260000005</v>
      </c>
      <c r="H37" s="301">
        <f t="shared" si="14"/>
        <v>7234012.5399999991</v>
      </c>
      <c r="I37" s="301">
        <f t="shared" si="14"/>
        <v>2438846.48</v>
      </c>
      <c r="J37" s="301">
        <f t="shared" si="14"/>
        <v>2633250.52</v>
      </c>
      <c r="K37" s="301">
        <f t="shared" si="14"/>
        <v>1824142</v>
      </c>
      <c r="L37" s="301">
        <f t="shared" si="14"/>
        <v>317142</v>
      </c>
      <c r="M37" s="301">
        <f t="shared" si="14"/>
        <v>20631.539999999106</v>
      </c>
      <c r="N37" s="301">
        <f t="shared" si="14"/>
        <v>10489500</v>
      </c>
      <c r="O37" s="301">
        <f t="shared" si="14"/>
        <v>16815000</v>
      </c>
      <c r="P37" s="301">
        <f t="shared" si="14"/>
        <v>13563000</v>
      </c>
      <c r="Q37" s="302">
        <f t="shared" si="14"/>
        <v>0</v>
      </c>
      <c r="R37" s="303">
        <f t="shared" si="14"/>
        <v>0</v>
      </c>
      <c r="S37" s="301">
        <f t="shared" si="14"/>
        <v>13741500</v>
      </c>
      <c r="T37" s="301">
        <f t="shared" si="14"/>
        <v>13563000</v>
      </c>
      <c r="U37" s="302">
        <f t="shared" si="14"/>
        <v>13563000</v>
      </c>
      <c r="V37" s="303">
        <f t="shared" si="14"/>
        <v>0</v>
      </c>
    </row>
    <row r="38" spans="1:22" ht="17.25" customHeight="1" thickBot="1" x14ac:dyDescent="0.3">
      <c r="A38" s="485"/>
      <c r="B38" s="486"/>
      <c r="C38" s="486"/>
      <c r="D38" s="486"/>
      <c r="E38" s="486"/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7"/>
      <c r="S38" s="304"/>
      <c r="T38" s="305"/>
      <c r="U38" s="305"/>
      <c r="V38" s="306"/>
    </row>
    <row r="39" spans="1:22" s="266" customFormat="1" ht="18.75" customHeight="1" thickBot="1" x14ac:dyDescent="0.3">
      <c r="A39" s="425" t="s">
        <v>97</v>
      </c>
      <c r="B39" s="426"/>
      <c r="C39" s="426"/>
      <c r="D39" s="426"/>
      <c r="E39" s="426"/>
      <c r="F39" s="426"/>
      <c r="G39" s="426"/>
      <c r="H39" s="426"/>
      <c r="I39" s="426"/>
      <c r="J39" s="426"/>
      <c r="K39" s="426"/>
      <c r="L39" s="426"/>
      <c r="M39" s="426"/>
      <c r="N39" s="426"/>
      <c r="O39" s="426"/>
      <c r="P39" s="426"/>
      <c r="Q39" s="426"/>
      <c r="R39" s="257"/>
      <c r="S39" s="257"/>
      <c r="T39" s="257"/>
      <c r="U39" s="257"/>
      <c r="V39" s="257"/>
    </row>
    <row r="40" spans="1:22" s="270" customFormat="1" ht="27.75" customHeight="1" x14ac:dyDescent="0.25">
      <c r="A40" s="186">
        <v>1</v>
      </c>
      <c r="B40" s="307" t="s">
        <v>66</v>
      </c>
      <c r="C40" s="192" t="s">
        <v>21</v>
      </c>
      <c r="D40" s="192" t="s">
        <v>39</v>
      </c>
      <c r="E40" s="308" t="s">
        <v>36</v>
      </c>
      <c r="F40" s="213">
        <f t="shared" ref="F40" si="15">SUM(G40:H40)</f>
        <v>25000</v>
      </c>
      <c r="G40" s="108">
        <f t="shared" ref="G40" si="16">SUM(N40:R40)</f>
        <v>0</v>
      </c>
      <c r="H40" s="110">
        <f t="shared" ref="H40" si="17">SUM(I40:M40)</f>
        <v>25000</v>
      </c>
      <c r="I40" s="127">
        <v>25000</v>
      </c>
      <c r="J40" s="108">
        <v>0</v>
      </c>
      <c r="K40" s="108">
        <v>0</v>
      </c>
      <c r="L40" s="108">
        <v>0</v>
      </c>
      <c r="M40" s="110">
        <v>0</v>
      </c>
      <c r="N40" s="127">
        <v>0</v>
      </c>
      <c r="O40" s="108">
        <v>0</v>
      </c>
      <c r="P40" s="109">
        <v>0</v>
      </c>
      <c r="Q40" s="109">
        <v>0</v>
      </c>
      <c r="R40" s="110">
        <v>0</v>
      </c>
      <c r="S40" s="108">
        <v>0</v>
      </c>
      <c r="T40" s="109">
        <f t="shared" ref="T40" si="18">P40</f>
        <v>0</v>
      </c>
      <c r="U40" s="109">
        <f>Q40</f>
        <v>0</v>
      </c>
      <c r="V40" s="110">
        <v>0</v>
      </c>
    </row>
    <row r="41" spans="1:22" s="270" customFormat="1" ht="54.6" customHeight="1" x14ac:dyDescent="0.25">
      <c r="A41" s="51">
        <v>2</v>
      </c>
      <c r="B41" s="107" t="s">
        <v>69</v>
      </c>
      <c r="C41" s="14" t="s">
        <v>21</v>
      </c>
      <c r="D41" s="14" t="s">
        <v>39</v>
      </c>
      <c r="E41" s="77">
        <v>2018</v>
      </c>
      <c r="F41" s="211">
        <f>SUM(G41:H41)</f>
        <v>47330944</v>
      </c>
      <c r="G41" s="12">
        <f>SUM(N41:R41)</f>
        <v>11968482.4</v>
      </c>
      <c r="H41" s="13">
        <f>SUM(I41:M41)</f>
        <v>35362461.600000001</v>
      </c>
      <c r="I41" s="11">
        <v>270193</v>
      </c>
      <c r="J41" s="12">
        <v>88572</v>
      </c>
      <c r="K41" s="12">
        <f>2*17681230.8-I41-J41</f>
        <v>35003696.600000001</v>
      </c>
      <c r="L41" s="12">
        <v>0</v>
      </c>
      <c r="M41" s="13">
        <v>0</v>
      </c>
      <c r="N41" s="11">
        <v>0</v>
      </c>
      <c r="O41" s="12">
        <v>0</v>
      </c>
      <c r="P41" s="59">
        <v>11968482.4</v>
      </c>
      <c r="Q41" s="59">
        <v>0</v>
      </c>
      <c r="R41" s="13">
        <v>0</v>
      </c>
      <c r="S41" s="12">
        <v>0</v>
      </c>
      <c r="T41" s="59">
        <v>11968482.4</v>
      </c>
      <c r="U41" s="59">
        <v>0</v>
      </c>
      <c r="V41" s="13">
        <v>0</v>
      </c>
    </row>
    <row r="42" spans="1:22" s="270" customFormat="1" ht="50.25" customHeight="1" x14ac:dyDescent="0.25">
      <c r="A42" s="51">
        <v>3</v>
      </c>
      <c r="B42" s="107" t="s">
        <v>157</v>
      </c>
      <c r="C42" s="14" t="s">
        <v>21</v>
      </c>
      <c r="D42" s="14" t="s">
        <v>39</v>
      </c>
      <c r="E42" s="77">
        <v>2018</v>
      </c>
      <c r="F42" s="211">
        <f t="shared" ref="F42" si="19">SUM(G42:H42)</f>
        <v>35063287.5</v>
      </c>
      <c r="G42" s="12">
        <f t="shared" ref="G42" si="20">SUM(N42:R42)</f>
        <v>9711029.8000000007</v>
      </c>
      <c r="H42" s="13">
        <f t="shared" ref="H42" si="21">SUM(I42:M42)</f>
        <v>25352257.699999999</v>
      </c>
      <c r="I42" s="11">
        <v>232722</v>
      </c>
      <c r="J42" s="12">
        <v>888878</v>
      </c>
      <c r="K42" s="12">
        <f>25352257.7-I42-J42</f>
        <v>24230657.699999999</v>
      </c>
      <c r="L42" s="12">
        <v>0</v>
      </c>
      <c r="M42" s="13">
        <v>0</v>
      </c>
      <c r="N42" s="11">
        <v>0</v>
      </c>
      <c r="O42" s="12">
        <v>0</v>
      </c>
      <c r="P42" s="59">
        <v>9711029.8000000007</v>
      </c>
      <c r="Q42" s="59">
        <v>0</v>
      </c>
      <c r="R42" s="13">
        <v>0</v>
      </c>
      <c r="S42" s="12">
        <v>0</v>
      </c>
      <c r="T42" s="59">
        <v>9711029.8000000007</v>
      </c>
      <c r="U42" s="59">
        <v>0</v>
      </c>
      <c r="V42" s="13">
        <v>0</v>
      </c>
    </row>
    <row r="43" spans="1:22" s="270" customFormat="1" ht="53.25" customHeight="1" x14ac:dyDescent="0.25">
      <c r="A43" s="51">
        <v>4</v>
      </c>
      <c r="B43" s="111" t="s">
        <v>70</v>
      </c>
      <c r="C43" s="112" t="s">
        <v>21</v>
      </c>
      <c r="D43" s="112" t="s">
        <v>39</v>
      </c>
      <c r="E43" s="77">
        <v>2018</v>
      </c>
      <c r="F43" s="222">
        <f t="shared" ref="F43" si="22">SUM(G43:H43)</f>
        <v>9252478</v>
      </c>
      <c r="G43" s="115">
        <f t="shared" ref="G43" si="23">SUM(N43:R43)</f>
        <v>2181804.7999999998</v>
      </c>
      <c r="H43" s="116">
        <f t="shared" ref="H43" si="24">SUM(I43:M43)</f>
        <v>7070673.2000000002</v>
      </c>
      <c r="I43" s="11">
        <v>206500</v>
      </c>
      <c r="J43" s="12">
        <v>10890</v>
      </c>
      <c r="K43" s="12">
        <f>7070673.2-I43-J43</f>
        <v>6853283.2000000002</v>
      </c>
      <c r="L43" s="12">
        <v>0</v>
      </c>
      <c r="M43" s="13">
        <v>0</v>
      </c>
      <c r="N43" s="114">
        <v>0</v>
      </c>
      <c r="O43" s="115">
        <v>0</v>
      </c>
      <c r="P43" s="59">
        <v>2181804.7999999998</v>
      </c>
      <c r="Q43" s="121">
        <v>0</v>
      </c>
      <c r="R43" s="116">
        <v>0</v>
      </c>
      <c r="S43" s="115">
        <v>0</v>
      </c>
      <c r="T43" s="59">
        <v>2181804.7999999998</v>
      </c>
      <c r="U43" s="121">
        <v>0</v>
      </c>
      <c r="V43" s="116">
        <v>0</v>
      </c>
    </row>
    <row r="44" spans="1:22" s="270" customFormat="1" ht="80.25" customHeight="1" x14ac:dyDescent="0.25">
      <c r="A44" s="51">
        <v>5</v>
      </c>
      <c r="B44" s="111" t="s">
        <v>158</v>
      </c>
      <c r="C44" s="112" t="s">
        <v>21</v>
      </c>
      <c r="D44" s="112" t="s">
        <v>39</v>
      </c>
      <c r="E44" s="77">
        <v>2018</v>
      </c>
      <c r="F44" s="222">
        <f t="shared" ref="F44" si="25">SUM(G44:H44)</f>
        <v>17035445.140000001</v>
      </c>
      <c r="G44" s="115">
        <f t="shared" ref="G44" si="26">SUM(N44:R44)</f>
        <v>4316666</v>
      </c>
      <c r="H44" s="116">
        <f t="shared" ref="H44" si="27">SUM(I44:M44)</f>
        <v>12718779.140000001</v>
      </c>
      <c r="I44" s="11">
        <v>195778</v>
      </c>
      <c r="J44" s="12">
        <v>18755</v>
      </c>
      <c r="K44" s="12">
        <f>12718779.14-I44-J44</f>
        <v>12504246.140000001</v>
      </c>
      <c r="L44" s="12">
        <v>0</v>
      </c>
      <c r="M44" s="13">
        <v>0</v>
      </c>
      <c r="N44" s="114">
        <v>0</v>
      </c>
      <c r="O44" s="115">
        <v>0</v>
      </c>
      <c r="P44" s="59">
        <v>4316666</v>
      </c>
      <c r="Q44" s="121">
        <v>0</v>
      </c>
      <c r="R44" s="116">
        <v>0</v>
      </c>
      <c r="S44" s="115">
        <v>0</v>
      </c>
      <c r="T44" s="59">
        <v>4316666</v>
      </c>
      <c r="U44" s="121">
        <v>0</v>
      </c>
      <c r="V44" s="116">
        <v>0</v>
      </c>
    </row>
    <row r="45" spans="1:22" s="270" customFormat="1" ht="38.25" customHeight="1" x14ac:dyDescent="0.25">
      <c r="A45" s="51">
        <v>6</v>
      </c>
      <c r="B45" s="107" t="s">
        <v>68</v>
      </c>
      <c r="C45" s="14" t="s">
        <v>21</v>
      </c>
      <c r="D45" s="14" t="s">
        <v>39</v>
      </c>
      <c r="E45" s="77">
        <v>2018</v>
      </c>
      <c r="F45" s="211">
        <f t="shared" ref="F45" si="28">SUM(G45:H45)</f>
        <v>16499342</v>
      </c>
      <c r="G45" s="12">
        <f t="shared" ref="G45" si="29">SUM(N45:R45)</f>
        <v>4570818.4000000004</v>
      </c>
      <c r="H45" s="13">
        <f t="shared" ref="H45" si="30">SUM(I45:M45)</f>
        <v>11928523.6</v>
      </c>
      <c r="I45" s="11">
        <v>306735</v>
      </c>
      <c r="J45" s="12">
        <v>111320</v>
      </c>
      <c r="K45" s="12">
        <f>2*5964261.8-I45-J45</f>
        <v>11510468.6</v>
      </c>
      <c r="L45" s="12">
        <v>0</v>
      </c>
      <c r="M45" s="13">
        <v>0</v>
      </c>
      <c r="N45" s="11">
        <v>0</v>
      </c>
      <c r="O45" s="12">
        <v>0</v>
      </c>
      <c r="P45" s="59">
        <v>4570818.4000000004</v>
      </c>
      <c r="Q45" s="59">
        <v>0</v>
      </c>
      <c r="R45" s="13">
        <v>0</v>
      </c>
      <c r="S45" s="12">
        <v>0</v>
      </c>
      <c r="T45" s="59">
        <v>4570818.4000000004</v>
      </c>
      <c r="U45" s="59">
        <v>0</v>
      </c>
      <c r="V45" s="13">
        <v>0</v>
      </c>
    </row>
    <row r="46" spans="1:22" s="270" customFormat="1" ht="63.75" customHeight="1" x14ac:dyDescent="0.25">
      <c r="A46" s="51">
        <v>7</v>
      </c>
      <c r="B46" s="107" t="s">
        <v>161</v>
      </c>
      <c r="C46" s="14" t="s">
        <v>21</v>
      </c>
      <c r="D46" s="14" t="s">
        <v>39</v>
      </c>
      <c r="E46" s="77">
        <v>2018</v>
      </c>
      <c r="F46" s="211">
        <f t="shared" ref="F46" si="31">SUM(G46:H46)</f>
        <v>7143804</v>
      </c>
      <c r="G46" s="12">
        <f t="shared" ref="G46" si="32">SUM(N46:R46)</f>
        <v>2605007.6</v>
      </c>
      <c r="H46" s="13">
        <f t="shared" ref="H46" si="33">SUM(I46:M46)</f>
        <v>4538796.4000000004</v>
      </c>
      <c r="I46" s="11">
        <v>97565</v>
      </c>
      <c r="J46" s="12">
        <v>0</v>
      </c>
      <c r="K46" s="12">
        <f>2*2269398.2-I46</f>
        <v>4441231.4000000004</v>
      </c>
      <c r="L46" s="12">
        <v>0</v>
      </c>
      <c r="M46" s="13">
        <v>0</v>
      </c>
      <c r="N46" s="11">
        <v>0</v>
      </c>
      <c r="O46" s="12">
        <v>0</v>
      </c>
      <c r="P46" s="59">
        <v>2605007.6</v>
      </c>
      <c r="Q46" s="59">
        <v>0</v>
      </c>
      <c r="R46" s="13">
        <v>0</v>
      </c>
      <c r="S46" s="12">
        <v>0</v>
      </c>
      <c r="T46" s="59">
        <v>2605007.6</v>
      </c>
      <c r="U46" s="59">
        <v>0</v>
      </c>
      <c r="V46" s="13">
        <v>0</v>
      </c>
    </row>
    <row r="47" spans="1:22" s="270" customFormat="1" ht="38.25" customHeight="1" x14ac:dyDescent="0.25">
      <c r="A47" s="51">
        <v>8</v>
      </c>
      <c r="B47" s="225" t="s">
        <v>64</v>
      </c>
      <c r="C47" s="14" t="s">
        <v>21</v>
      </c>
      <c r="D47" s="14" t="s">
        <v>39</v>
      </c>
      <c r="E47" s="77">
        <v>2018</v>
      </c>
      <c r="F47" s="223">
        <f t="shared" ref="F47" si="34">SUM(G47:H47)</f>
        <v>50438856.399999999</v>
      </c>
      <c r="G47" s="12">
        <f t="shared" ref="G47" si="35">SUM(N47:R47)</f>
        <v>25219428.199999999</v>
      </c>
      <c r="H47" s="13">
        <f t="shared" ref="H47" si="36">SUM(I47:M47)</f>
        <v>25219428.199999999</v>
      </c>
      <c r="I47" s="11">
        <v>406840</v>
      </c>
      <c r="J47" s="12">
        <v>0</v>
      </c>
      <c r="K47" s="12">
        <f>2*12609714.1-I47</f>
        <v>24812588.199999999</v>
      </c>
      <c r="L47" s="12">
        <v>0</v>
      </c>
      <c r="M47" s="59">
        <v>0</v>
      </c>
      <c r="N47" s="11">
        <v>0</v>
      </c>
      <c r="O47" s="12">
        <v>0</v>
      </c>
      <c r="P47" s="12">
        <v>25219428.199999999</v>
      </c>
      <c r="Q47" s="12">
        <v>0</v>
      </c>
      <c r="R47" s="13">
        <v>0</v>
      </c>
      <c r="S47" s="12">
        <v>0</v>
      </c>
      <c r="T47" s="12">
        <v>25219428.199999999</v>
      </c>
      <c r="U47" s="12">
        <v>0</v>
      </c>
      <c r="V47" s="13">
        <v>0</v>
      </c>
    </row>
    <row r="48" spans="1:22" s="270" customFormat="1" ht="27.75" customHeight="1" x14ac:dyDescent="0.25">
      <c r="A48" s="51">
        <v>9</v>
      </c>
      <c r="B48" s="107" t="s">
        <v>67</v>
      </c>
      <c r="C48" s="14" t="s">
        <v>21</v>
      </c>
      <c r="D48" s="14" t="s">
        <v>39</v>
      </c>
      <c r="E48" s="77">
        <v>2018</v>
      </c>
      <c r="F48" s="211">
        <f t="shared" ref="F48" si="37">SUM(G48:H48)</f>
        <v>17231481.739999998</v>
      </c>
      <c r="G48" s="12">
        <f t="shared" ref="G48" si="38">SUM(N48:R48)</f>
        <v>2848111.7</v>
      </c>
      <c r="H48" s="13">
        <f t="shared" ref="H48" si="39">SUM(I48:M48)</f>
        <v>14383370.039999999</v>
      </c>
      <c r="I48" s="11">
        <v>616227.4</v>
      </c>
      <c r="J48" s="12">
        <v>130000</v>
      </c>
      <c r="K48" s="12">
        <f>2*7191685.02-I48-J48</f>
        <v>13637142.639999999</v>
      </c>
      <c r="L48" s="12">
        <v>0</v>
      </c>
      <c r="M48" s="13">
        <v>0</v>
      </c>
      <c r="N48" s="11">
        <v>0</v>
      </c>
      <c r="O48" s="12">
        <v>0</v>
      </c>
      <c r="P48" s="59">
        <v>2848111.7</v>
      </c>
      <c r="Q48" s="59">
        <v>0</v>
      </c>
      <c r="R48" s="13">
        <v>0</v>
      </c>
      <c r="S48" s="12">
        <v>0</v>
      </c>
      <c r="T48" s="59">
        <v>2848111.7</v>
      </c>
      <c r="U48" s="59">
        <v>0</v>
      </c>
      <c r="V48" s="13">
        <v>0</v>
      </c>
    </row>
    <row r="49" spans="1:22" s="270" customFormat="1" ht="53.25" customHeight="1" x14ac:dyDescent="0.25">
      <c r="A49" s="51">
        <v>10</v>
      </c>
      <c r="B49" s="107" t="s">
        <v>122</v>
      </c>
      <c r="C49" s="14" t="s">
        <v>21</v>
      </c>
      <c r="D49" s="14" t="s">
        <v>39</v>
      </c>
      <c r="E49" s="77">
        <v>2018</v>
      </c>
      <c r="F49" s="211">
        <f t="shared" ref="F49" si="40">SUM(G49:H49)</f>
        <v>18134684</v>
      </c>
      <c r="G49" s="211">
        <f t="shared" ref="G49" si="41">SUM(N49:R49)</f>
        <v>3024250</v>
      </c>
      <c r="H49" s="160">
        <f t="shared" ref="H49" si="42">SUM(I49:M49)</f>
        <v>15110434</v>
      </c>
      <c r="I49" s="11">
        <v>246840</v>
      </c>
      <c r="J49" s="211">
        <v>0</v>
      </c>
      <c r="K49" s="211">
        <v>14863594</v>
      </c>
      <c r="L49" s="211">
        <v>0</v>
      </c>
      <c r="M49" s="160">
        <v>0</v>
      </c>
      <c r="N49" s="11">
        <v>0</v>
      </c>
      <c r="O49" s="211">
        <v>0</v>
      </c>
      <c r="P49" s="12">
        <v>3024250</v>
      </c>
      <c r="Q49" s="12">
        <v>0</v>
      </c>
      <c r="R49" s="13">
        <v>0</v>
      </c>
      <c r="S49" s="211">
        <v>0</v>
      </c>
      <c r="T49" s="12">
        <v>3024250</v>
      </c>
      <c r="U49" s="12">
        <v>0</v>
      </c>
      <c r="V49" s="13">
        <v>0</v>
      </c>
    </row>
    <row r="50" spans="1:22" s="270" customFormat="1" ht="36" customHeight="1" x14ac:dyDescent="0.25">
      <c r="A50" s="186">
        <v>11</v>
      </c>
      <c r="B50" s="226" t="s">
        <v>73</v>
      </c>
      <c r="C50" s="204" t="s">
        <v>21</v>
      </c>
      <c r="D50" s="204" t="s">
        <v>39</v>
      </c>
      <c r="E50" s="95">
        <v>2018</v>
      </c>
      <c r="F50" s="224">
        <f t="shared" ref="F50" si="43">SUM(G50:H50)</f>
        <v>14603699</v>
      </c>
      <c r="G50" s="207">
        <f t="shared" ref="G50" si="44">SUM(N50:R50)</f>
        <v>4600424.8</v>
      </c>
      <c r="H50" s="208">
        <f t="shared" ref="H50" si="45">SUM(I50:M50)</f>
        <v>10003274.199999999</v>
      </c>
      <c r="I50" s="206">
        <v>0</v>
      </c>
      <c r="J50" s="207">
        <v>127050</v>
      </c>
      <c r="K50" s="207">
        <f>10003274.2-J50</f>
        <v>9876224.1999999993</v>
      </c>
      <c r="L50" s="207">
        <v>0</v>
      </c>
      <c r="M50" s="208">
        <v>0</v>
      </c>
      <c r="N50" s="206">
        <v>0</v>
      </c>
      <c r="O50" s="207">
        <v>0</v>
      </c>
      <c r="P50" s="209">
        <v>4600424.8</v>
      </c>
      <c r="Q50" s="209">
        <v>0</v>
      </c>
      <c r="R50" s="208">
        <v>0</v>
      </c>
      <c r="S50" s="207">
        <v>0</v>
      </c>
      <c r="T50" s="209">
        <v>4600424.8</v>
      </c>
      <c r="U50" s="209">
        <v>0</v>
      </c>
      <c r="V50" s="208">
        <v>0</v>
      </c>
    </row>
    <row r="51" spans="1:22" s="270" customFormat="1" ht="61.5" customHeight="1" x14ac:dyDescent="0.25">
      <c r="A51" s="309">
        <v>12</v>
      </c>
      <c r="B51" s="227" t="s">
        <v>144</v>
      </c>
      <c r="C51" s="140" t="s">
        <v>35</v>
      </c>
      <c r="D51" s="14" t="s">
        <v>40</v>
      </c>
      <c r="E51" s="77">
        <v>2018</v>
      </c>
      <c r="F51" s="211">
        <v>3564215.77</v>
      </c>
      <c r="G51" s="12">
        <f>F51*0.9</f>
        <v>3207794.193</v>
      </c>
      <c r="H51" s="13">
        <f t="shared" ref="H51:H58" si="46">F51-G51</f>
        <v>356421.57700000005</v>
      </c>
      <c r="I51" s="11">
        <v>0</v>
      </c>
      <c r="J51" s="12">
        <v>0</v>
      </c>
      <c r="K51" s="12">
        <f>H51</f>
        <v>356421.57700000005</v>
      </c>
      <c r="L51" s="12">
        <v>0</v>
      </c>
      <c r="M51" s="13">
        <v>0</v>
      </c>
      <c r="N51" s="11">
        <v>0</v>
      </c>
      <c r="O51" s="12">
        <v>0</v>
      </c>
      <c r="P51" s="12">
        <f t="shared" ref="P51" si="47">G51</f>
        <v>3207794.193</v>
      </c>
      <c r="Q51" s="59">
        <v>0</v>
      </c>
      <c r="R51" s="13">
        <v>0</v>
      </c>
      <c r="S51" s="12">
        <v>0</v>
      </c>
      <c r="T51" s="12">
        <f t="shared" ref="T51" si="48">P51</f>
        <v>3207794.193</v>
      </c>
      <c r="U51" s="59">
        <v>0</v>
      </c>
      <c r="V51" s="13">
        <v>0</v>
      </c>
    </row>
    <row r="52" spans="1:22" s="102" customFormat="1" ht="60" customHeight="1" x14ac:dyDescent="0.25">
      <c r="A52" s="309">
        <v>13</v>
      </c>
      <c r="B52" s="228" t="s">
        <v>173</v>
      </c>
      <c r="C52" s="140" t="s">
        <v>7</v>
      </c>
      <c r="D52" s="14" t="s">
        <v>40</v>
      </c>
      <c r="E52" s="77" t="s">
        <v>25</v>
      </c>
      <c r="F52" s="211">
        <v>12022976</v>
      </c>
      <c r="G52" s="12">
        <f>11593676*0.9</f>
        <v>10434308.4</v>
      </c>
      <c r="H52" s="13">
        <f t="shared" si="46"/>
        <v>1588667.5999999996</v>
      </c>
      <c r="I52" s="11">
        <f>0.1*54900</f>
        <v>5490</v>
      </c>
      <c r="J52" s="12">
        <f>429300+12000</f>
        <v>441300</v>
      </c>
      <c r="K52" s="12">
        <f>1159367.6-I52-12000</f>
        <v>1141877.6000000001</v>
      </c>
      <c r="L52" s="12">
        <v>0</v>
      </c>
      <c r="M52" s="13">
        <v>0</v>
      </c>
      <c r="N52" s="11">
        <f>54900*0.9</f>
        <v>49410</v>
      </c>
      <c r="O52" s="12">
        <f>120000*0.9</f>
        <v>108000</v>
      </c>
      <c r="P52" s="12">
        <f>G52-N52-O52</f>
        <v>10276898.4</v>
      </c>
      <c r="Q52" s="59">
        <v>0</v>
      </c>
      <c r="R52" s="13">
        <v>0</v>
      </c>
      <c r="S52" s="12">
        <v>0</v>
      </c>
      <c r="T52" s="12">
        <f t="shared" ref="T52" si="49">L52</f>
        <v>0</v>
      </c>
      <c r="U52" s="59">
        <f>G52</f>
        <v>10434308.4</v>
      </c>
      <c r="V52" s="13">
        <v>0</v>
      </c>
    </row>
    <row r="53" spans="1:22" s="102" customFormat="1" ht="90" customHeight="1" x14ac:dyDescent="0.25">
      <c r="A53" s="309">
        <v>14</v>
      </c>
      <c r="B53" s="225" t="s">
        <v>132</v>
      </c>
      <c r="C53" s="14" t="s">
        <v>35</v>
      </c>
      <c r="D53" s="14" t="s">
        <v>40</v>
      </c>
      <c r="E53" s="77">
        <v>2018</v>
      </c>
      <c r="F53" s="211">
        <v>4565305.8</v>
      </c>
      <c r="G53" s="12">
        <f>F53*0.9</f>
        <v>4108775.2199999997</v>
      </c>
      <c r="H53" s="13">
        <f t="shared" si="46"/>
        <v>456530.58000000007</v>
      </c>
      <c r="I53" s="11">
        <v>0</v>
      </c>
      <c r="J53" s="12">
        <v>0</v>
      </c>
      <c r="K53" s="12">
        <f>H53</f>
        <v>456530.58000000007</v>
      </c>
      <c r="L53" s="12">
        <v>0</v>
      </c>
      <c r="M53" s="13">
        <v>0</v>
      </c>
      <c r="N53" s="11">
        <v>0</v>
      </c>
      <c r="O53" s="12">
        <v>0</v>
      </c>
      <c r="P53" s="12">
        <f t="shared" ref="P53:P58" si="50">G53</f>
        <v>4108775.2199999997</v>
      </c>
      <c r="Q53" s="59">
        <v>0</v>
      </c>
      <c r="R53" s="13">
        <v>0</v>
      </c>
      <c r="S53" s="12">
        <v>0</v>
      </c>
      <c r="T53" s="12">
        <f>P53</f>
        <v>4108775.2199999997</v>
      </c>
      <c r="U53" s="59">
        <v>0</v>
      </c>
      <c r="V53" s="13">
        <v>0</v>
      </c>
    </row>
    <row r="54" spans="1:22" ht="78" customHeight="1" x14ac:dyDescent="0.25">
      <c r="A54" s="309">
        <v>15</v>
      </c>
      <c r="B54" s="229" t="s">
        <v>133</v>
      </c>
      <c r="C54" s="14" t="s">
        <v>35</v>
      </c>
      <c r="D54" s="14" t="s">
        <v>40</v>
      </c>
      <c r="E54" s="77">
        <v>2018</v>
      </c>
      <c r="F54" s="211">
        <v>3158442</v>
      </c>
      <c r="G54" s="12">
        <f>F54*0.9</f>
        <v>2842597.8000000003</v>
      </c>
      <c r="H54" s="13">
        <f t="shared" si="46"/>
        <v>315844.19999999972</v>
      </c>
      <c r="I54" s="11">
        <v>0</v>
      </c>
      <c r="J54" s="12">
        <v>0</v>
      </c>
      <c r="K54" s="12">
        <f>H54</f>
        <v>315844.19999999972</v>
      </c>
      <c r="L54" s="12">
        <v>0</v>
      </c>
      <c r="M54" s="13">
        <v>0</v>
      </c>
      <c r="N54" s="11">
        <v>0</v>
      </c>
      <c r="O54" s="12">
        <v>0</v>
      </c>
      <c r="P54" s="12">
        <f t="shared" si="50"/>
        <v>2842597.8000000003</v>
      </c>
      <c r="Q54" s="59">
        <v>0</v>
      </c>
      <c r="R54" s="13">
        <v>0</v>
      </c>
      <c r="S54" s="12">
        <v>0</v>
      </c>
      <c r="T54" s="12">
        <f>P54</f>
        <v>2842597.8000000003</v>
      </c>
      <c r="U54" s="59">
        <v>0</v>
      </c>
      <c r="V54" s="13">
        <v>0</v>
      </c>
    </row>
    <row r="55" spans="1:22" s="102" customFormat="1" ht="48" customHeight="1" x14ac:dyDescent="0.25">
      <c r="A55" s="51">
        <v>16</v>
      </c>
      <c r="B55" s="228" t="s">
        <v>174</v>
      </c>
      <c r="C55" s="140" t="s">
        <v>21</v>
      </c>
      <c r="D55" s="14" t="s">
        <v>40</v>
      </c>
      <c r="E55" s="77">
        <v>2018</v>
      </c>
      <c r="F55" s="211">
        <v>26547771.850000001</v>
      </c>
      <c r="G55" s="12">
        <v>23892994.600000001</v>
      </c>
      <c r="H55" s="13">
        <f t="shared" si="46"/>
        <v>2654777.25</v>
      </c>
      <c r="I55" s="11">
        <v>381150</v>
      </c>
      <c r="J55" s="12">
        <v>0</v>
      </c>
      <c r="K55" s="12">
        <f>H55-I55</f>
        <v>2273627.25</v>
      </c>
      <c r="L55" s="12">
        <v>0</v>
      </c>
      <c r="M55" s="13">
        <v>0</v>
      </c>
      <c r="N55" s="11">
        <v>0</v>
      </c>
      <c r="O55" s="12">
        <v>0</v>
      </c>
      <c r="P55" s="12">
        <f t="shared" si="50"/>
        <v>23892994.600000001</v>
      </c>
      <c r="Q55" s="59">
        <v>0</v>
      </c>
      <c r="R55" s="13">
        <v>0</v>
      </c>
      <c r="S55" s="12">
        <v>0</v>
      </c>
      <c r="T55" s="12">
        <v>5000000</v>
      </c>
      <c r="U55" s="59">
        <f>G55-T55</f>
        <v>18892994.600000001</v>
      </c>
      <c r="V55" s="13">
        <v>0</v>
      </c>
    </row>
    <row r="56" spans="1:22" s="102" customFormat="1" ht="79.5" customHeight="1" x14ac:dyDescent="0.25">
      <c r="A56" s="51">
        <v>17</v>
      </c>
      <c r="B56" s="225" t="s">
        <v>175</v>
      </c>
      <c r="C56" s="14" t="s">
        <v>21</v>
      </c>
      <c r="D56" s="14" t="s">
        <v>40</v>
      </c>
      <c r="E56" s="77">
        <v>2018</v>
      </c>
      <c r="F56" s="211">
        <v>9058042.4700000007</v>
      </c>
      <c r="G56" s="12">
        <f>8813283.67*0.9</f>
        <v>7931955.3030000003</v>
      </c>
      <c r="H56" s="13">
        <f t="shared" si="46"/>
        <v>1126087.1670000004</v>
      </c>
      <c r="I56" s="11">
        <v>171820</v>
      </c>
      <c r="J56" s="12">
        <v>0</v>
      </c>
      <c r="K56" s="12">
        <f>H56-I56</f>
        <v>954267.16700000037</v>
      </c>
      <c r="L56" s="12">
        <v>0</v>
      </c>
      <c r="M56" s="13">
        <v>0</v>
      </c>
      <c r="N56" s="11">
        <v>0</v>
      </c>
      <c r="O56" s="12">
        <v>0</v>
      </c>
      <c r="P56" s="12">
        <f t="shared" si="50"/>
        <v>7931955.3030000003</v>
      </c>
      <c r="Q56" s="59">
        <v>0</v>
      </c>
      <c r="R56" s="13">
        <v>0</v>
      </c>
      <c r="S56" s="12">
        <v>0</v>
      </c>
      <c r="T56" s="12">
        <f>P56</f>
        <v>7931955.3030000003</v>
      </c>
      <c r="U56" s="59">
        <v>0</v>
      </c>
      <c r="V56" s="13">
        <v>0</v>
      </c>
    </row>
    <row r="57" spans="1:22" s="102" customFormat="1" ht="104.25" customHeight="1" x14ac:dyDescent="0.25">
      <c r="A57" s="51">
        <v>18</v>
      </c>
      <c r="B57" s="225" t="s">
        <v>176</v>
      </c>
      <c r="C57" s="14" t="s">
        <v>21</v>
      </c>
      <c r="D57" s="14" t="s">
        <v>40</v>
      </c>
      <c r="E57" s="77">
        <v>2018</v>
      </c>
      <c r="F57" s="211">
        <v>6992217.21</v>
      </c>
      <c r="G57" s="12">
        <f>6832217.21*0.9</f>
        <v>6148995.4890000001</v>
      </c>
      <c r="H57" s="13">
        <f t="shared" si="46"/>
        <v>843221.7209999999</v>
      </c>
      <c r="I57" s="11">
        <v>129379</v>
      </c>
      <c r="J57" s="12">
        <v>54000</v>
      </c>
      <c r="K57" s="12">
        <f>H57-I57-J57</f>
        <v>659842.7209999999</v>
      </c>
      <c r="L57" s="12">
        <v>0</v>
      </c>
      <c r="M57" s="13">
        <v>0</v>
      </c>
      <c r="N57" s="11">
        <v>0</v>
      </c>
      <c r="O57" s="12">
        <v>0</v>
      </c>
      <c r="P57" s="12">
        <f t="shared" si="50"/>
        <v>6148995.4890000001</v>
      </c>
      <c r="Q57" s="59">
        <v>0</v>
      </c>
      <c r="R57" s="13">
        <v>0</v>
      </c>
      <c r="S57" s="12">
        <f>O57</f>
        <v>0</v>
      </c>
      <c r="T57" s="12">
        <f>P57</f>
        <v>6148995.4890000001</v>
      </c>
      <c r="U57" s="59">
        <v>0</v>
      </c>
      <c r="V57" s="13">
        <v>0</v>
      </c>
    </row>
    <row r="58" spans="1:22" s="270" customFormat="1" ht="154.5" customHeight="1" x14ac:dyDescent="0.25">
      <c r="A58" s="309">
        <v>19</v>
      </c>
      <c r="B58" s="225" t="s">
        <v>150</v>
      </c>
      <c r="C58" s="14" t="s">
        <v>35</v>
      </c>
      <c r="D58" s="14" t="s">
        <v>40</v>
      </c>
      <c r="E58" s="77">
        <v>2018</v>
      </c>
      <c r="F58" s="211">
        <v>7571110</v>
      </c>
      <c r="G58" s="12">
        <f>F58*0.9</f>
        <v>6813999</v>
      </c>
      <c r="H58" s="13">
        <f t="shared" si="46"/>
        <v>757111</v>
      </c>
      <c r="I58" s="11">
        <v>0</v>
      </c>
      <c r="J58" s="12">
        <v>0</v>
      </c>
      <c r="K58" s="12">
        <f>H58</f>
        <v>757111</v>
      </c>
      <c r="L58" s="12">
        <v>0</v>
      </c>
      <c r="M58" s="13">
        <v>0</v>
      </c>
      <c r="N58" s="11">
        <v>0</v>
      </c>
      <c r="O58" s="12">
        <v>0</v>
      </c>
      <c r="P58" s="12">
        <f t="shared" si="50"/>
        <v>6813999</v>
      </c>
      <c r="Q58" s="59">
        <v>0</v>
      </c>
      <c r="R58" s="13">
        <v>0</v>
      </c>
      <c r="S58" s="12">
        <v>0</v>
      </c>
      <c r="T58" s="12">
        <f>P58</f>
        <v>6813999</v>
      </c>
      <c r="U58" s="59">
        <v>0</v>
      </c>
      <c r="V58" s="13">
        <v>0</v>
      </c>
    </row>
    <row r="59" spans="1:22" s="102" customFormat="1" ht="148.5" customHeight="1" x14ac:dyDescent="0.25">
      <c r="A59" s="309">
        <v>20</v>
      </c>
      <c r="B59" s="228" t="s">
        <v>177</v>
      </c>
      <c r="C59" s="140" t="s">
        <v>7</v>
      </c>
      <c r="D59" s="14" t="s">
        <v>40</v>
      </c>
      <c r="E59" s="77" t="s">
        <v>25</v>
      </c>
      <c r="F59" s="211">
        <f>18357063+291077.6</f>
        <v>18648140.600000001</v>
      </c>
      <c r="G59" s="12">
        <f>18357063*0.9</f>
        <v>16521356.700000001</v>
      </c>
      <c r="H59" s="13">
        <f t="shared" ref="H59" si="51">F59-G59</f>
        <v>2126783.9000000004</v>
      </c>
      <c r="I59" s="11">
        <f>291077.6+0.1*54900</f>
        <v>296567.59999999998</v>
      </c>
      <c r="J59" s="12">
        <v>12000</v>
      </c>
      <c r="K59" s="12">
        <f>H59-J59-I59</f>
        <v>1818216.3000000003</v>
      </c>
      <c r="L59" s="12">
        <v>0</v>
      </c>
      <c r="M59" s="13">
        <v>0</v>
      </c>
      <c r="N59" s="11">
        <f>54900*0.9</f>
        <v>49410</v>
      </c>
      <c r="O59" s="12">
        <f>120000*0.9</f>
        <v>108000</v>
      </c>
      <c r="P59" s="12">
        <f>G59-N59-O59</f>
        <v>16363946.700000001</v>
      </c>
      <c r="Q59" s="59">
        <v>0</v>
      </c>
      <c r="R59" s="13">
        <v>0</v>
      </c>
      <c r="S59" s="12">
        <v>0</v>
      </c>
      <c r="T59" s="12">
        <f>O59</f>
        <v>108000</v>
      </c>
      <c r="U59" s="59">
        <f>G59</f>
        <v>16521356.700000001</v>
      </c>
      <c r="V59" s="13">
        <v>0</v>
      </c>
    </row>
    <row r="60" spans="1:22" s="270" customFormat="1" ht="61.5" customHeight="1" x14ac:dyDescent="0.25">
      <c r="A60" s="309">
        <v>21</v>
      </c>
      <c r="B60" s="228" t="s">
        <v>152</v>
      </c>
      <c r="C60" s="140" t="s">
        <v>35</v>
      </c>
      <c r="D60" s="14" t="s">
        <v>40</v>
      </c>
      <c r="E60" s="77">
        <v>2018</v>
      </c>
      <c r="F60" s="211">
        <v>2016172.47</v>
      </c>
      <c r="G60" s="12">
        <f>F60*0.9</f>
        <v>1814555.223</v>
      </c>
      <c r="H60" s="13">
        <f t="shared" ref="H60:H72" si="52">F60-G60</f>
        <v>201617.24699999997</v>
      </c>
      <c r="I60" s="11">
        <v>0</v>
      </c>
      <c r="J60" s="12">
        <v>0</v>
      </c>
      <c r="K60" s="12">
        <f>H60</f>
        <v>201617.24699999997</v>
      </c>
      <c r="L60" s="12">
        <v>0</v>
      </c>
      <c r="M60" s="13">
        <v>0</v>
      </c>
      <c r="N60" s="11">
        <v>0</v>
      </c>
      <c r="O60" s="12">
        <v>0</v>
      </c>
      <c r="P60" s="12">
        <f>G60</f>
        <v>1814555.223</v>
      </c>
      <c r="Q60" s="59">
        <v>0</v>
      </c>
      <c r="R60" s="13">
        <v>0</v>
      </c>
      <c r="S60" s="12">
        <v>0</v>
      </c>
      <c r="T60" s="12">
        <f>P60</f>
        <v>1814555.223</v>
      </c>
      <c r="U60" s="59">
        <v>0</v>
      </c>
      <c r="V60" s="13">
        <v>0</v>
      </c>
    </row>
    <row r="61" spans="1:22" s="270" customFormat="1" ht="91.5" customHeight="1" x14ac:dyDescent="0.25">
      <c r="A61" s="309">
        <v>22</v>
      </c>
      <c r="B61" s="228" t="s">
        <v>143</v>
      </c>
      <c r="C61" s="140" t="s">
        <v>35</v>
      </c>
      <c r="D61" s="14" t="s">
        <v>40</v>
      </c>
      <c r="E61" s="77">
        <v>2018</v>
      </c>
      <c r="F61" s="211">
        <v>3729961.27</v>
      </c>
      <c r="G61" s="12">
        <f>(F61-60500)*0.9</f>
        <v>3302515.1430000002</v>
      </c>
      <c r="H61" s="13">
        <f t="shared" si="52"/>
        <v>427446.12699999986</v>
      </c>
      <c r="I61" s="11">
        <v>60500</v>
      </c>
      <c r="J61" s="12">
        <v>0</v>
      </c>
      <c r="K61" s="12">
        <f>H61-I61</f>
        <v>366946.12699999986</v>
      </c>
      <c r="L61" s="12">
        <v>0</v>
      </c>
      <c r="M61" s="13">
        <v>0</v>
      </c>
      <c r="N61" s="11">
        <v>0</v>
      </c>
      <c r="O61" s="12">
        <v>0</v>
      </c>
      <c r="P61" s="12">
        <f>G61</f>
        <v>3302515.1430000002</v>
      </c>
      <c r="Q61" s="59">
        <v>0</v>
      </c>
      <c r="R61" s="13">
        <v>0</v>
      </c>
      <c r="S61" s="12">
        <v>0</v>
      </c>
      <c r="T61" s="12">
        <f>P61</f>
        <v>3302515.1430000002</v>
      </c>
      <c r="U61" s="59">
        <v>0</v>
      </c>
      <c r="V61" s="13">
        <v>0</v>
      </c>
    </row>
    <row r="62" spans="1:22" s="102" customFormat="1" ht="88.9" customHeight="1" x14ac:dyDescent="0.25">
      <c r="A62" s="51">
        <v>23</v>
      </c>
      <c r="B62" s="228" t="s">
        <v>178</v>
      </c>
      <c r="C62" s="140" t="s">
        <v>21</v>
      </c>
      <c r="D62" s="14" t="s">
        <v>40</v>
      </c>
      <c r="E62" s="77">
        <v>2018</v>
      </c>
      <c r="F62" s="211">
        <v>9853209.8300000001</v>
      </c>
      <c r="G62" s="12">
        <f>9790289.83*0.9</f>
        <v>8811260.847000001</v>
      </c>
      <c r="H62" s="13">
        <f t="shared" si="52"/>
        <v>1041948.9829999991</v>
      </c>
      <c r="I62" s="11">
        <v>312500</v>
      </c>
      <c r="J62" s="12">
        <v>0</v>
      </c>
      <c r="K62" s="12">
        <f>H62-I62</f>
        <v>729448.98299999908</v>
      </c>
      <c r="L62" s="12">
        <v>0</v>
      </c>
      <c r="M62" s="13">
        <v>0</v>
      </c>
      <c r="N62" s="11">
        <v>0</v>
      </c>
      <c r="O62" s="12">
        <v>0</v>
      </c>
      <c r="P62" s="12">
        <f t="shared" ref="P62" si="53">G62</f>
        <v>8811260.847000001</v>
      </c>
      <c r="Q62" s="59">
        <v>0</v>
      </c>
      <c r="R62" s="13">
        <v>0</v>
      </c>
      <c r="S62" s="12">
        <v>0</v>
      </c>
      <c r="T62" s="12">
        <f>P62</f>
        <v>8811260.847000001</v>
      </c>
      <c r="U62" s="59">
        <v>0</v>
      </c>
      <c r="V62" s="13">
        <v>0</v>
      </c>
    </row>
    <row r="63" spans="1:22" s="270" customFormat="1" ht="77.45" customHeight="1" x14ac:dyDescent="0.25">
      <c r="A63" s="309">
        <v>24</v>
      </c>
      <c r="B63" s="225" t="s">
        <v>179</v>
      </c>
      <c r="C63" s="14" t="s">
        <v>7</v>
      </c>
      <c r="D63" s="14" t="s">
        <v>40</v>
      </c>
      <c r="E63" s="77" t="s">
        <v>8</v>
      </c>
      <c r="F63" s="211">
        <f>14328627+499926.9</f>
        <v>14828553.9</v>
      </c>
      <c r="G63" s="12">
        <f>14328627*0.9</f>
        <v>12895764.300000001</v>
      </c>
      <c r="H63" s="13">
        <f t="shared" si="52"/>
        <v>1932789.5999999996</v>
      </c>
      <c r="I63" s="11">
        <f>499926.9+(63525*0.1)</f>
        <v>506279.4</v>
      </c>
      <c r="J63" s="12">
        <v>12000</v>
      </c>
      <c r="K63" s="12">
        <f>H63-I63-J63</f>
        <v>1414510.1999999997</v>
      </c>
      <c r="L63" s="12">
        <v>0</v>
      </c>
      <c r="M63" s="13">
        <v>0</v>
      </c>
      <c r="N63" s="11">
        <f>63525*0.9</f>
        <v>57172.5</v>
      </c>
      <c r="O63" s="12">
        <f>120000*0.9</f>
        <v>108000</v>
      </c>
      <c r="P63" s="12">
        <f>G63-N63-O63</f>
        <v>12730591.800000001</v>
      </c>
      <c r="Q63" s="59">
        <v>0</v>
      </c>
      <c r="R63" s="13">
        <v>0</v>
      </c>
      <c r="S63" s="12">
        <v>0</v>
      </c>
      <c r="T63" s="12">
        <f>G63</f>
        <v>12895764.300000001</v>
      </c>
      <c r="U63" s="59">
        <v>0</v>
      </c>
      <c r="V63" s="13">
        <v>0</v>
      </c>
    </row>
    <row r="64" spans="1:22" s="270" customFormat="1" ht="61.5" customHeight="1" x14ac:dyDescent="0.25">
      <c r="A64" s="309">
        <v>25</v>
      </c>
      <c r="B64" s="230" t="s">
        <v>146</v>
      </c>
      <c r="C64" s="112" t="s">
        <v>35</v>
      </c>
      <c r="D64" s="112" t="s">
        <v>40</v>
      </c>
      <c r="E64" s="113">
        <v>2018</v>
      </c>
      <c r="F64" s="222">
        <v>3483657.93</v>
      </c>
      <c r="G64" s="115">
        <f>F64*0.9</f>
        <v>3135292.1370000001</v>
      </c>
      <c r="H64" s="116">
        <f t="shared" si="52"/>
        <v>348365.79300000006</v>
      </c>
      <c r="I64" s="11">
        <v>0</v>
      </c>
      <c r="J64" s="12">
        <v>0</v>
      </c>
      <c r="K64" s="12">
        <f>H64</f>
        <v>348365.79300000006</v>
      </c>
      <c r="L64" s="12">
        <v>0</v>
      </c>
      <c r="M64" s="13">
        <v>0</v>
      </c>
      <c r="N64" s="114">
        <v>0</v>
      </c>
      <c r="O64" s="115">
        <v>0</v>
      </c>
      <c r="P64" s="115">
        <f>G64</f>
        <v>3135292.1370000001</v>
      </c>
      <c r="Q64" s="121">
        <v>0</v>
      </c>
      <c r="R64" s="116">
        <v>0</v>
      </c>
      <c r="S64" s="115">
        <v>0</v>
      </c>
      <c r="T64" s="115">
        <f>P64</f>
        <v>3135292.1370000001</v>
      </c>
      <c r="U64" s="121">
        <v>0</v>
      </c>
      <c r="V64" s="116">
        <v>0</v>
      </c>
    </row>
    <row r="65" spans="1:22" ht="75" customHeight="1" x14ac:dyDescent="0.25">
      <c r="A65" s="309">
        <v>26</v>
      </c>
      <c r="B65" s="228" t="s">
        <v>138</v>
      </c>
      <c r="C65" s="140" t="s">
        <v>35</v>
      </c>
      <c r="D65" s="14" t="s">
        <v>40</v>
      </c>
      <c r="E65" s="77">
        <v>2018</v>
      </c>
      <c r="F65" s="211">
        <v>4454987.9800000004</v>
      </c>
      <c r="G65" s="12">
        <f>F65*0.9</f>
        <v>4009489.1820000005</v>
      </c>
      <c r="H65" s="13">
        <f t="shared" si="52"/>
        <v>445498.79799999995</v>
      </c>
      <c r="I65" s="11">
        <v>0</v>
      </c>
      <c r="J65" s="12">
        <v>0</v>
      </c>
      <c r="K65" s="12">
        <f>H65</f>
        <v>445498.79799999995</v>
      </c>
      <c r="L65" s="12">
        <v>0</v>
      </c>
      <c r="M65" s="13">
        <v>0</v>
      </c>
      <c r="N65" s="11">
        <v>0</v>
      </c>
      <c r="O65" s="12">
        <v>0</v>
      </c>
      <c r="P65" s="12">
        <f>G65</f>
        <v>4009489.1820000005</v>
      </c>
      <c r="Q65" s="59">
        <v>0</v>
      </c>
      <c r="R65" s="13">
        <v>0</v>
      </c>
      <c r="S65" s="12">
        <v>0</v>
      </c>
      <c r="T65" s="12">
        <f>P65</f>
        <v>4009489.1820000005</v>
      </c>
      <c r="U65" s="59">
        <v>0</v>
      </c>
      <c r="V65" s="13">
        <v>0</v>
      </c>
    </row>
    <row r="66" spans="1:22" s="102" customFormat="1" ht="93" customHeight="1" x14ac:dyDescent="0.25">
      <c r="A66" s="309">
        <v>27</v>
      </c>
      <c r="B66" s="228" t="s">
        <v>136</v>
      </c>
      <c r="C66" s="140" t="s">
        <v>35</v>
      </c>
      <c r="D66" s="14" t="s">
        <v>40</v>
      </c>
      <c r="E66" s="77">
        <v>2018</v>
      </c>
      <c r="F66" s="211">
        <v>4850000</v>
      </c>
      <c r="G66" s="12">
        <f>F66*0.9</f>
        <v>4365000</v>
      </c>
      <c r="H66" s="13">
        <f t="shared" si="52"/>
        <v>485000</v>
      </c>
      <c r="I66" s="11">
        <v>0</v>
      </c>
      <c r="J66" s="12">
        <v>0</v>
      </c>
      <c r="K66" s="12">
        <f>H66</f>
        <v>485000</v>
      </c>
      <c r="L66" s="12">
        <v>0</v>
      </c>
      <c r="M66" s="13">
        <v>0</v>
      </c>
      <c r="N66" s="11">
        <v>0</v>
      </c>
      <c r="O66" s="12">
        <v>0</v>
      </c>
      <c r="P66" s="12">
        <f>G66</f>
        <v>4365000</v>
      </c>
      <c r="Q66" s="59">
        <v>0</v>
      </c>
      <c r="R66" s="13">
        <v>0</v>
      </c>
      <c r="S66" s="12">
        <v>0</v>
      </c>
      <c r="T66" s="12">
        <f>P66</f>
        <v>4365000</v>
      </c>
      <c r="U66" s="59">
        <v>0</v>
      </c>
      <c r="V66" s="13">
        <v>0</v>
      </c>
    </row>
    <row r="67" spans="1:22" ht="95.25" customHeight="1" x14ac:dyDescent="0.25">
      <c r="A67" s="309">
        <v>28</v>
      </c>
      <c r="B67" s="229" t="s">
        <v>131</v>
      </c>
      <c r="C67" s="14" t="s">
        <v>35</v>
      </c>
      <c r="D67" s="14" t="s">
        <v>40</v>
      </c>
      <c r="E67" s="77">
        <v>2018</v>
      </c>
      <c r="F67" s="211">
        <v>4701784</v>
      </c>
      <c r="G67" s="12">
        <f>F67*0.9</f>
        <v>4231605.6000000006</v>
      </c>
      <c r="H67" s="13">
        <f t="shared" si="52"/>
        <v>470178.39999999944</v>
      </c>
      <c r="I67" s="11">
        <v>0</v>
      </c>
      <c r="J67" s="12">
        <v>0</v>
      </c>
      <c r="K67" s="12">
        <f>H67</f>
        <v>470178.39999999944</v>
      </c>
      <c r="L67" s="12">
        <v>0</v>
      </c>
      <c r="M67" s="13">
        <v>0</v>
      </c>
      <c r="N67" s="11">
        <v>0</v>
      </c>
      <c r="O67" s="12">
        <v>0</v>
      </c>
      <c r="P67" s="12">
        <f>G67</f>
        <v>4231605.6000000006</v>
      </c>
      <c r="Q67" s="59">
        <v>0</v>
      </c>
      <c r="R67" s="13">
        <v>0</v>
      </c>
      <c r="S67" s="12">
        <v>0</v>
      </c>
      <c r="T67" s="12">
        <f t="shared" ref="T67" si="54">P67</f>
        <v>4231605.6000000006</v>
      </c>
      <c r="U67" s="59">
        <v>0</v>
      </c>
      <c r="V67" s="13">
        <v>0</v>
      </c>
    </row>
    <row r="68" spans="1:22" ht="46.5" customHeight="1" x14ac:dyDescent="0.25">
      <c r="A68" s="309">
        <v>29</v>
      </c>
      <c r="B68" s="228" t="s">
        <v>135</v>
      </c>
      <c r="C68" s="140" t="s">
        <v>35</v>
      </c>
      <c r="D68" s="14" t="s">
        <v>40</v>
      </c>
      <c r="E68" s="77">
        <v>2018</v>
      </c>
      <c r="F68" s="211">
        <v>2087176.64</v>
      </c>
      <c r="G68" s="12">
        <f t="shared" ref="G68" si="55">F68*0.9</f>
        <v>1878458.976</v>
      </c>
      <c r="H68" s="13">
        <f t="shared" si="52"/>
        <v>208717.66399999987</v>
      </c>
      <c r="I68" s="11">
        <v>0</v>
      </c>
      <c r="J68" s="12">
        <v>0</v>
      </c>
      <c r="K68" s="12">
        <f t="shared" ref="K68" si="56">H68</f>
        <v>208717.66399999987</v>
      </c>
      <c r="L68" s="12">
        <v>0</v>
      </c>
      <c r="M68" s="13">
        <v>0</v>
      </c>
      <c r="N68" s="11">
        <v>0</v>
      </c>
      <c r="O68" s="12">
        <v>0</v>
      </c>
      <c r="P68" s="12">
        <f t="shared" ref="P68" si="57">G68</f>
        <v>1878458.976</v>
      </c>
      <c r="Q68" s="59">
        <v>0</v>
      </c>
      <c r="R68" s="13">
        <v>0</v>
      </c>
      <c r="S68" s="12">
        <v>0</v>
      </c>
      <c r="T68" s="12">
        <f>P68</f>
        <v>1878458.976</v>
      </c>
      <c r="U68" s="59">
        <v>0</v>
      </c>
      <c r="V68" s="13">
        <v>0</v>
      </c>
    </row>
    <row r="69" spans="1:22" s="270" customFormat="1" ht="105.75" customHeight="1" x14ac:dyDescent="0.25">
      <c r="A69" s="309">
        <v>30</v>
      </c>
      <c r="B69" s="228" t="s">
        <v>145</v>
      </c>
      <c r="C69" s="140" t="s">
        <v>35</v>
      </c>
      <c r="D69" s="14" t="s">
        <v>40</v>
      </c>
      <c r="E69" s="77">
        <v>2018</v>
      </c>
      <c r="F69" s="211">
        <v>3370561.54</v>
      </c>
      <c r="G69" s="12">
        <f t="shared" ref="G69" si="58">F69*0.9</f>
        <v>3033505.3859999999</v>
      </c>
      <c r="H69" s="13">
        <f t="shared" si="52"/>
        <v>337056.1540000001</v>
      </c>
      <c r="I69" s="11">
        <v>0</v>
      </c>
      <c r="J69" s="12">
        <v>0</v>
      </c>
      <c r="K69" s="12">
        <f t="shared" ref="K69" si="59">H69</f>
        <v>337056.1540000001</v>
      </c>
      <c r="L69" s="12">
        <v>0</v>
      </c>
      <c r="M69" s="13">
        <v>0</v>
      </c>
      <c r="N69" s="11">
        <v>0</v>
      </c>
      <c r="O69" s="12">
        <v>0</v>
      </c>
      <c r="P69" s="12">
        <f>G69</f>
        <v>3033505.3859999999</v>
      </c>
      <c r="Q69" s="59">
        <v>0</v>
      </c>
      <c r="R69" s="13">
        <v>0</v>
      </c>
      <c r="S69" s="12">
        <v>0</v>
      </c>
      <c r="T69" s="12">
        <f>P69</f>
        <v>3033505.3859999999</v>
      </c>
      <c r="U69" s="59">
        <v>0</v>
      </c>
      <c r="V69" s="13">
        <v>0</v>
      </c>
    </row>
    <row r="70" spans="1:22" ht="72.75" customHeight="1" x14ac:dyDescent="0.25">
      <c r="A70" s="309">
        <v>31</v>
      </c>
      <c r="B70" s="227" t="s">
        <v>155</v>
      </c>
      <c r="C70" s="140" t="s">
        <v>35</v>
      </c>
      <c r="D70" s="14" t="s">
        <v>40</v>
      </c>
      <c r="E70" s="77">
        <v>2018</v>
      </c>
      <c r="F70" s="211">
        <v>1497980</v>
      </c>
      <c r="G70" s="12">
        <f>F70*0.9</f>
        <v>1348182</v>
      </c>
      <c r="H70" s="13">
        <f t="shared" si="52"/>
        <v>149798</v>
      </c>
      <c r="I70" s="11">
        <v>0</v>
      </c>
      <c r="J70" s="12">
        <v>0</v>
      </c>
      <c r="K70" s="12">
        <f t="shared" ref="K70" si="60">H70</f>
        <v>149798</v>
      </c>
      <c r="L70" s="12">
        <v>0</v>
      </c>
      <c r="M70" s="13">
        <v>0</v>
      </c>
      <c r="N70" s="11">
        <v>0</v>
      </c>
      <c r="O70" s="12">
        <v>0</v>
      </c>
      <c r="P70" s="12">
        <f t="shared" ref="P70" si="61">G70</f>
        <v>1348182</v>
      </c>
      <c r="Q70" s="59">
        <v>0</v>
      </c>
      <c r="R70" s="13">
        <v>0</v>
      </c>
      <c r="S70" s="12">
        <v>0</v>
      </c>
      <c r="T70" s="12">
        <f>P70</f>
        <v>1348182</v>
      </c>
      <c r="U70" s="59">
        <v>0</v>
      </c>
      <c r="V70" s="13">
        <v>0</v>
      </c>
    </row>
    <row r="71" spans="1:22" s="270" customFormat="1" ht="48.75" customHeight="1" x14ac:dyDescent="0.25">
      <c r="A71" s="309">
        <v>32</v>
      </c>
      <c r="B71" s="225" t="s">
        <v>130</v>
      </c>
      <c r="C71" s="14" t="s">
        <v>35</v>
      </c>
      <c r="D71" s="14" t="s">
        <v>40</v>
      </c>
      <c r="E71" s="77">
        <v>2018</v>
      </c>
      <c r="F71" s="211">
        <v>4451028.43</v>
      </c>
      <c r="G71" s="12">
        <f>F71*0.9</f>
        <v>4005925.5869999998</v>
      </c>
      <c r="H71" s="13">
        <f t="shared" si="52"/>
        <v>445102.84299999988</v>
      </c>
      <c r="I71" s="11">
        <v>0</v>
      </c>
      <c r="J71" s="12">
        <v>0</v>
      </c>
      <c r="K71" s="12">
        <f>H71</f>
        <v>445102.84299999988</v>
      </c>
      <c r="L71" s="12">
        <v>0</v>
      </c>
      <c r="M71" s="13">
        <v>0</v>
      </c>
      <c r="N71" s="11">
        <v>0</v>
      </c>
      <c r="O71" s="12">
        <v>0</v>
      </c>
      <c r="P71" s="12">
        <f>G71</f>
        <v>4005925.5869999998</v>
      </c>
      <c r="Q71" s="59">
        <v>0</v>
      </c>
      <c r="R71" s="13">
        <v>0</v>
      </c>
      <c r="S71" s="12">
        <v>0</v>
      </c>
      <c r="T71" s="12">
        <v>1122000</v>
      </c>
      <c r="U71" s="59">
        <v>3000000</v>
      </c>
      <c r="V71" s="13">
        <v>0</v>
      </c>
    </row>
    <row r="72" spans="1:22" ht="65.25" customHeight="1" x14ac:dyDescent="0.25">
      <c r="A72" s="309">
        <v>33</v>
      </c>
      <c r="B72" s="228" t="s">
        <v>137</v>
      </c>
      <c r="C72" s="140" t="s">
        <v>35</v>
      </c>
      <c r="D72" s="14" t="s">
        <v>40</v>
      </c>
      <c r="E72" s="77">
        <v>2018</v>
      </c>
      <c r="F72" s="211">
        <v>3093936</v>
      </c>
      <c r="G72" s="12">
        <f>F72*0.9</f>
        <v>2784542.4</v>
      </c>
      <c r="H72" s="13">
        <f t="shared" si="52"/>
        <v>309393.60000000009</v>
      </c>
      <c r="I72" s="11">
        <v>0</v>
      </c>
      <c r="J72" s="12">
        <v>0</v>
      </c>
      <c r="K72" s="12">
        <f>H72</f>
        <v>309393.60000000009</v>
      </c>
      <c r="L72" s="12">
        <v>0</v>
      </c>
      <c r="M72" s="13">
        <v>0</v>
      </c>
      <c r="N72" s="11">
        <v>0</v>
      </c>
      <c r="O72" s="12">
        <v>0</v>
      </c>
      <c r="P72" s="12">
        <f t="shared" ref="P72" si="62">G72</f>
        <v>2784542.4</v>
      </c>
      <c r="Q72" s="59">
        <v>0</v>
      </c>
      <c r="R72" s="13">
        <v>0</v>
      </c>
      <c r="S72" s="12">
        <v>0</v>
      </c>
      <c r="T72" s="12">
        <f>P72</f>
        <v>2784542.4</v>
      </c>
      <c r="U72" s="59">
        <v>0</v>
      </c>
      <c r="V72" s="13">
        <v>0</v>
      </c>
    </row>
    <row r="73" spans="1:22" s="270" customFormat="1" ht="89.25" customHeight="1" x14ac:dyDescent="0.25">
      <c r="A73" s="309">
        <v>34</v>
      </c>
      <c r="B73" s="225" t="s">
        <v>154</v>
      </c>
      <c r="C73" s="14" t="s">
        <v>7</v>
      </c>
      <c r="D73" s="14" t="s">
        <v>40</v>
      </c>
      <c r="E73" s="77" t="s">
        <v>8</v>
      </c>
      <c r="F73" s="211">
        <v>7790935</v>
      </c>
      <c r="G73" s="12">
        <f t="shared" ref="G73" si="63">F73*0.9</f>
        <v>7011841.5</v>
      </c>
      <c r="H73" s="13">
        <f t="shared" ref="H73" si="64">F73-G73</f>
        <v>779093.5</v>
      </c>
      <c r="I73" s="11">
        <v>0</v>
      </c>
      <c r="J73" s="12">
        <v>0</v>
      </c>
      <c r="K73" s="12">
        <f t="shared" ref="K73" si="65">H73</f>
        <v>779093.5</v>
      </c>
      <c r="L73" s="12">
        <v>0</v>
      </c>
      <c r="M73" s="13">
        <v>0</v>
      </c>
      <c r="N73" s="11">
        <v>0</v>
      </c>
      <c r="O73" s="12">
        <v>0</v>
      </c>
      <c r="P73" s="12">
        <f>G73</f>
        <v>7011841.5</v>
      </c>
      <c r="Q73" s="59">
        <v>0</v>
      </c>
      <c r="R73" s="13">
        <v>0</v>
      </c>
      <c r="S73" s="12">
        <v>0</v>
      </c>
      <c r="T73" s="12">
        <f t="shared" ref="T73" si="66">P73</f>
        <v>7011841.5</v>
      </c>
      <c r="U73" s="59">
        <v>0</v>
      </c>
      <c r="V73" s="13">
        <v>0</v>
      </c>
    </row>
    <row r="74" spans="1:22" s="102" customFormat="1" ht="58.5" customHeight="1" x14ac:dyDescent="0.25">
      <c r="A74" s="309">
        <v>35</v>
      </c>
      <c r="B74" s="107" t="s">
        <v>134</v>
      </c>
      <c r="C74" s="14" t="s">
        <v>35</v>
      </c>
      <c r="D74" s="14" t="s">
        <v>40</v>
      </c>
      <c r="E74" s="77">
        <v>2018</v>
      </c>
      <c r="F74" s="211">
        <v>3954347.2</v>
      </c>
      <c r="G74" s="12">
        <f>3954347.2*0.9</f>
        <v>3558912.4800000004</v>
      </c>
      <c r="H74" s="13">
        <f t="shared" ref="H74" si="67">F74-G74</f>
        <v>395434.71999999974</v>
      </c>
      <c r="I74" s="11">
        <v>60500</v>
      </c>
      <c r="J74" s="12">
        <v>0</v>
      </c>
      <c r="K74" s="12">
        <f>H74-I74</f>
        <v>334934.71999999974</v>
      </c>
      <c r="L74" s="12">
        <v>0</v>
      </c>
      <c r="M74" s="13">
        <v>0</v>
      </c>
      <c r="N74" s="11">
        <v>0</v>
      </c>
      <c r="O74" s="12">
        <v>0</v>
      </c>
      <c r="P74" s="12">
        <f t="shared" ref="P74" si="68">G74</f>
        <v>3558912.4800000004</v>
      </c>
      <c r="Q74" s="59">
        <v>0</v>
      </c>
      <c r="R74" s="13">
        <v>0</v>
      </c>
      <c r="S74" s="12">
        <v>0</v>
      </c>
      <c r="T74" s="12">
        <v>0</v>
      </c>
      <c r="U74" s="59">
        <f>P74</f>
        <v>3558912.4800000004</v>
      </c>
      <c r="V74" s="13">
        <v>0</v>
      </c>
    </row>
    <row r="75" spans="1:22" ht="44.25" customHeight="1" x14ac:dyDescent="0.25">
      <c r="A75" s="309">
        <v>36</v>
      </c>
      <c r="B75" s="228" t="s">
        <v>140</v>
      </c>
      <c r="C75" s="140" t="s">
        <v>35</v>
      </c>
      <c r="D75" s="14" t="s">
        <v>40</v>
      </c>
      <c r="E75" s="77">
        <v>2018</v>
      </c>
      <c r="F75" s="211">
        <v>2630399.69</v>
      </c>
      <c r="G75" s="12">
        <f t="shared" ref="G75" si="69">F75*0.9</f>
        <v>2367359.7209999999</v>
      </c>
      <c r="H75" s="13">
        <f>F75-G75</f>
        <v>263039.96900000004</v>
      </c>
      <c r="I75" s="11">
        <v>0</v>
      </c>
      <c r="J75" s="12">
        <v>0</v>
      </c>
      <c r="K75" s="12">
        <f t="shared" ref="K75" si="70">H75</f>
        <v>263039.96900000004</v>
      </c>
      <c r="L75" s="12">
        <v>0</v>
      </c>
      <c r="M75" s="13">
        <v>0</v>
      </c>
      <c r="N75" s="11">
        <v>0</v>
      </c>
      <c r="O75" s="12">
        <v>0</v>
      </c>
      <c r="P75" s="12">
        <f>G75</f>
        <v>2367359.7209999999</v>
      </c>
      <c r="Q75" s="59">
        <v>0</v>
      </c>
      <c r="R75" s="13">
        <v>0</v>
      </c>
      <c r="S75" s="12">
        <v>0</v>
      </c>
      <c r="T75" s="12">
        <f>P75</f>
        <v>2367359.7209999999</v>
      </c>
      <c r="U75" s="59">
        <v>0</v>
      </c>
      <c r="V75" s="13">
        <v>0</v>
      </c>
    </row>
    <row r="76" spans="1:22" ht="59.25" customHeight="1" x14ac:dyDescent="0.25">
      <c r="A76" s="309">
        <v>37</v>
      </c>
      <c r="B76" s="107" t="s">
        <v>180</v>
      </c>
      <c r="C76" s="14" t="s">
        <v>35</v>
      </c>
      <c r="D76" s="14" t="s">
        <v>47</v>
      </c>
      <c r="E76" s="77" t="s">
        <v>54</v>
      </c>
      <c r="F76" s="211">
        <v>10007824</v>
      </c>
      <c r="G76" s="12">
        <v>10007824</v>
      </c>
      <c r="H76" s="13">
        <v>0</v>
      </c>
      <c r="I76" s="11">
        <f>H76/6</f>
        <v>0</v>
      </c>
      <c r="J76" s="12">
        <f t="shared" ref="J76" si="71">(H76-I76)/2</f>
        <v>0</v>
      </c>
      <c r="K76" s="12">
        <f t="shared" ref="K76" si="72">(H76-I76)/2</f>
        <v>0</v>
      </c>
      <c r="L76" s="12">
        <v>0</v>
      </c>
      <c r="M76" s="59">
        <v>0</v>
      </c>
      <c r="N76" s="11">
        <v>0</v>
      </c>
      <c r="O76" s="12">
        <v>0</v>
      </c>
      <c r="P76" s="12">
        <v>0</v>
      </c>
      <c r="Q76" s="12">
        <v>0</v>
      </c>
      <c r="R76" s="13">
        <v>0</v>
      </c>
      <c r="S76" s="12">
        <v>0</v>
      </c>
      <c r="T76" s="12">
        <v>0</v>
      </c>
      <c r="U76" s="12">
        <v>0</v>
      </c>
      <c r="V76" s="13">
        <v>0</v>
      </c>
    </row>
    <row r="77" spans="1:22" ht="59.25" customHeight="1" x14ac:dyDescent="0.25">
      <c r="A77" s="310">
        <v>38</v>
      </c>
      <c r="B77" s="231" t="s">
        <v>181</v>
      </c>
      <c r="C77" s="94" t="s">
        <v>35</v>
      </c>
      <c r="D77" s="94" t="s">
        <v>47</v>
      </c>
      <c r="E77" s="95" t="s">
        <v>54</v>
      </c>
      <c r="F77" s="213">
        <v>13500000</v>
      </c>
      <c r="G77" s="108">
        <v>13500000</v>
      </c>
      <c r="H77" s="110">
        <v>0</v>
      </c>
      <c r="I77" s="127">
        <f>H77/6</f>
        <v>0</v>
      </c>
      <c r="J77" s="108">
        <f>(H77-I77)/2</f>
        <v>0</v>
      </c>
      <c r="K77" s="108">
        <f>(H77-I77)/2</f>
        <v>0</v>
      </c>
      <c r="L77" s="108">
        <v>0</v>
      </c>
      <c r="M77" s="109">
        <v>0</v>
      </c>
      <c r="N77" s="127">
        <v>0</v>
      </c>
      <c r="O77" s="108">
        <v>0</v>
      </c>
      <c r="P77" s="108">
        <v>0</v>
      </c>
      <c r="Q77" s="108">
        <v>0</v>
      </c>
      <c r="R77" s="110">
        <v>0</v>
      </c>
      <c r="S77" s="108">
        <v>0</v>
      </c>
      <c r="T77" s="108">
        <v>0</v>
      </c>
      <c r="U77" s="108">
        <v>0</v>
      </c>
      <c r="V77" s="110">
        <v>0</v>
      </c>
    </row>
    <row r="78" spans="1:22" ht="59.25" customHeight="1" x14ac:dyDescent="0.25">
      <c r="A78" s="309">
        <v>39</v>
      </c>
      <c r="B78" s="228" t="s">
        <v>151</v>
      </c>
      <c r="C78" s="140" t="s">
        <v>35</v>
      </c>
      <c r="D78" s="14" t="s">
        <v>47</v>
      </c>
      <c r="E78" s="77" t="s">
        <v>26</v>
      </c>
      <c r="F78" s="222">
        <v>361874</v>
      </c>
      <c r="G78" s="115">
        <v>361874</v>
      </c>
      <c r="H78" s="116">
        <v>0</v>
      </c>
      <c r="I78" s="11">
        <v>0</v>
      </c>
      <c r="J78" s="12">
        <v>0</v>
      </c>
      <c r="K78" s="12">
        <v>0</v>
      </c>
      <c r="L78" s="12">
        <v>0</v>
      </c>
      <c r="M78" s="13">
        <v>0</v>
      </c>
      <c r="N78" s="114">
        <v>0</v>
      </c>
      <c r="O78" s="115">
        <v>0</v>
      </c>
      <c r="P78" s="115">
        <v>0</v>
      </c>
      <c r="Q78" s="121">
        <v>0</v>
      </c>
      <c r="R78" s="116">
        <v>0</v>
      </c>
      <c r="S78" s="115">
        <v>0</v>
      </c>
      <c r="T78" s="115">
        <v>0</v>
      </c>
      <c r="U78" s="121">
        <v>0</v>
      </c>
      <c r="V78" s="116">
        <v>0</v>
      </c>
    </row>
    <row r="79" spans="1:22" ht="33" customHeight="1" x14ac:dyDescent="0.25">
      <c r="A79" s="309">
        <v>40</v>
      </c>
      <c r="B79" s="107" t="s">
        <v>147</v>
      </c>
      <c r="C79" s="14" t="s">
        <v>35</v>
      </c>
      <c r="D79" s="14" t="s">
        <v>47</v>
      </c>
      <c r="E79" s="77" t="s">
        <v>8</v>
      </c>
      <c r="F79" s="222">
        <v>290000</v>
      </c>
      <c r="G79" s="115">
        <v>290000</v>
      </c>
      <c r="H79" s="116">
        <v>0</v>
      </c>
      <c r="I79" s="11">
        <v>0</v>
      </c>
      <c r="J79" s="12">
        <v>0</v>
      </c>
      <c r="K79" s="12">
        <v>0</v>
      </c>
      <c r="L79" s="12">
        <v>0</v>
      </c>
      <c r="M79" s="13">
        <v>0</v>
      </c>
      <c r="N79" s="114">
        <v>0</v>
      </c>
      <c r="O79" s="115">
        <v>0</v>
      </c>
      <c r="P79" s="115">
        <v>0</v>
      </c>
      <c r="Q79" s="121">
        <v>0</v>
      </c>
      <c r="R79" s="116">
        <v>0</v>
      </c>
      <c r="S79" s="115">
        <v>0</v>
      </c>
      <c r="T79" s="115">
        <v>0</v>
      </c>
      <c r="U79" s="121">
        <v>0</v>
      </c>
      <c r="V79" s="116">
        <v>0</v>
      </c>
    </row>
    <row r="80" spans="1:22" s="102" customFormat="1" ht="38.25" customHeight="1" thickBot="1" x14ac:dyDescent="0.3">
      <c r="A80" s="167">
        <v>41</v>
      </c>
      <c r="B80" s="172" t="s">
        <v>105</v>
      </c>
      <c r="C80" s="97" t="s">
        <v>7</v>
      </c>
      <c r="D80" s="97" t="s">
        <v>39</v>
      </c>
      <c r="E80" s="173">
        <v>2017</v>
      </c>
      <c r="F80" s="211">
        <v>983664</v>
      </c>
      <c r="G80" s="12">
        <v>590198.4</v>
      </c>
      <c r="H80" s="59">
        <f t="shared" ref="H80" si="73">F80-G80</f>
        <v>393465.59999999998</v>
      </c>
      <c r="I80" s="11">
        <v>0</v>
      </c>
      <c r="J80" s="12">
        <f>H80</f>
        <v>393465.59999999998</v>
      </c>
      <c r="K80" s="12">
        <v>0</v>
      </c>
      <c r="L80" s="12">
        <v>0</v>
      </c>
      <c r="M80" s="59">
        <v>0</v>
      </c>
      <c r="N80" s="11">
        <v>0</v>
      </c>
      <c r="O80" s="12">
        <v>0</v>
      </c>
      <c r="P80" s="12">
        <v>0</v>
      </c>
      <c r="Q80" s="12">
        <v>0</v>
      </c>
      <c r="R80" s="59">
        <v>0</v>
      </c>
      <c r="S80" s="11">
        <v>0</v>
      </c>
      <c r="T80" s="12">
        <v>0</v>
      </c>
      <c r="U80" s="12">
        <v>0</v>
      </c>
      <c r="V80" s="13">
        <v>0</v>
      </c>
    </row>
    <row r="81" spans="1:22" s="272" customFormat="1" ht="15.75" thickBot="1" x14ac:dyDescent="0.3">
      <c r="A81" s="484" t="s">
        <v>16</v>
      </c>
      <c r="B81" s="461"/>
      <c r="C81" s="461"/>
      <c r="D81" s="461"/>
      <c r="E81" s="482"/>
      <c r="F81" s="299">
        <f>SUM(F40:F80)</f>
        <v>426825297.36000007</v>
      </c>
      <c r="G81" s="299">
        <f t="shared" ref="G81:V81" si="74">SUM(G40:G80)</f>
        <v>246252907.28700003</v>
      </c>
      <c r="H81" s="299">
        <f t="shared" si="74"/>
        <v>180572390.07300001</v>
      </c>
      <c r="I81" s="299">
        <f t="shared" si="74"/>
        <v>4528586.4000000004</v>
      </c>
      <c r="J81" s="299">
        <f t="shared" si="74"/>
        <v>2288230.6</v>
      </c>
      <c r="K81" s="299">
        <f t="shared" si="74"/>
        <v>173755573.07300004</v>
      </c>
      <c r="L81" s="299">
        <f t="shared" si="74"/>
        <v>0</v>
      </c>
      <c r="M81" s="299">
        <f t="shared" si="74"/>
        <v>0</v>
      </c>
      <c r="N81" s="299">
        <f t="shared" si="74"/>
        <v>155992.5</v>
      </c>
      <c r="O81" s="299">
        <f t="shared" si="74"/>
        <v>324000</v>
      </c>
      <c r="P81" s="299">
        <f t="shared" si="74"/>
        <v>221023018.38700002</v>
      </c>
      <c r="Q81" s="299">
        <f t="shared" si="74"/>
        <v>0</v>
      </c>
      <c r="R81" s="299">
        <f t="shared" si="74"/>
        <v>0</v>
      </c>
      <c r="S81" s="299">
        <f t="shared" si="74"/>
        <v>0</v>
      </c>
      <c r="T81" s="299">
        <f t="shared" si="74"/>
        <v>169319513.12000003</v>
      </c>
      <c r="U81" s="299">
        <f t="shared" si="74"/>
        <v>52407572.180000007</v>
      </c>
      <c r="V81" s="299">
        <f t="shared" si="74"/>
        <v>0</v>
      </c>
    </row>
    <row r="82" spans="1:22" s="272" customFormat="1" ht="15.75" thickBot="1" x14ac:dyDescent="0.3">
      <c r="A82" s="311"/>
      <c r="B82" s="312"/>
      <c r="C82" s="312"/>
      <c r="D82" s="312"/>
      <c r="E82" s="312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</row>
    <row r="83" spans="1:22" s="255" customFormat="1" ht="21" customHeight="1" thickBot="1" x14ac:dyDescent="0.3">
      <c r="A83" s="425" t="s">
        <v>91</v>
      </c>
      <c r="B83" s="426"/>
      <c r="C83" s="426"/>
      <c r="D83" s="426"/>
      <c r="E83" s="426"/>
      <c r="F83" s="426"/>
      <c r="G83" s="426"/>
      <c r="H83" s="426"/>
      <c r="I83" s="426"/>
      <c r="J83" s="426"/>
      <c r="K83" s="426"/>
      <c r="L83" s="426"/>
      <c r="M83" s="426"/>
      <c r="N83" s="426"/>
      <c r="O83" s="426"/>
      <c r="P83" s="426"/>
      <c r="Q83" s="426"/>
      <c r="R83" s="427"/>
      <c r="S83" s="425"/>
      <c r="T83" s="426"/>
      <c r="U83" s="426"/>
      <c r="V83" s="426"/>
    </row>
    <row r="84" spans="1:22" ht="36.75" customHeight="1" thickBot="1" x14ac:dyDescent="0.3">
      <c r="A84" s="169">
        <v>1</v>
      </c>
      <c r="B84" s="144" t="s">
        <v>28</v>
      </c>
      <c r="C84" s="131" t="s">
        <v>7</v>
      </c>
      <c r="D84" s="131" t="s">
        <v>39</v>
      </c>
      <c r="E84" s="132">
        <v>2017</v>
      </c>
      <c r="F84" s="148">
        <v>635129</v>
      </c>
      <c r="G84" s="149">
        <f>635129*0.85</f>
        <v>539859.65</v>
      </c>
      <c r="H84" s="150">
        <f>F84-G84</f>
        <v>95269.349999999977</v>
      </c>
      <c r="I84" s="148">
        <v>2704.35</v>
      </c>
      <c r="J84" s="115">
        <v>0</v>
      </c>
      <c r="K84" s="151">
        <v>92565</v>
      </c>
      <c r="L84" s="149">
        <v>0</v>
      </c>
      <c r="M84" s="152">
        <v>0</v>
      </c>
      <c r="N84" s="153">
        <v>18029</v>
      </c>
      <c r="O84" s="151">
        <v>0</v>
      </c>
      <c r="P84" s="149">
        <v>617100</v>
      </c>
      <c r="Q84" s="150">
        <v>0</v>
      </c>
      <c r="R84" s="152">
        <v>0</v>
      </c>
      <c r="S84" s="151">
        <v>0</v>
      </c>
      <c r="T84" s="149">
        <v>635129</v>
      </c>
      <c r="U84" s="150">
        <v>0</v>
      </c>
      <c r="V84" s="152">
        <v>0</v>
      </c>
    </row>
    <row r="85" spans="1:22" s="272" customFormat="1" ht="15.75" thickBot="1" x14ac:dyDescent="0.3">
      <c r="A85" s="484" t="s">
        <v>16</v>
      </c>
      <c r="B85" s="461"/>
      <c r="C85" s="461"/>
      <c r="D85" s="461"/>
      <c r="E85" s="482"/>
      <c r="F85" s="314">
        <f>SUM(F84)</f>
        <v>635129</v>
      </c>
      <c r="G85" s="314">
        <f t="shared" ref="G85:V85" si="75">SUM(G84)</f>
        <v>539859.65</v>
      </c>
      <c r="H85" s="314">
        <f t="shared" si="75"/>
        <v>95269.349999999977</v>
      </c>
      <c r="I85" s="314">
        <f t="shared" si="75"/>
        <v>2704.35</v>
      </c>
      <c r="J85" s="314">
        <f t="shared" si="75"/>
        <v>0</v>
      </c>
      <c r="K85" s="314">
        <f t="shared" si="75"/>
        <v>92565</v>
      </c>
      <c r="L85" s="314">
        <f t="shared" si="75"/>
        <v>0</v>
      </c>
      <c r="M85" s="314">
        <f t="shared" si="75"/>
        <v>0</v>
      </c>
      <c r="N85" s="314">
        <f t="shared" si="75"/>
        <v>18029</v>
      </c>
      <c r="O85" s="314">
        <f t="shared" si="75"/>
        <v>0</v>
      </c>
      <c r="P85" s="314">
        <f t="shared" si="75"/>
        <v>617100</v>
      </c>
      <c r="Q85" s="314">
        <f t="shared" si="75"/>
        <v>0</v>
      </c>
      <c r="R85" s="314">
        <f t="shared" si="75"/>
        <v>0</v>
      </c>
      <c r="S85" s="314">
        <f t="shared" si="75"/>
        <v>0</v>
      </c>
      <c r="T85" s="314">
        <f t="shared" si="75"/>
        <v>635129</v>
      </c>
      <c r="U85" s="314">
        <f t="shared" si="75"/>
        <v>0</v>
      </c>
      <c r="V85" s="314">
        <f t="shared" si="75"/>
        <v>0</v>
      </c>
    </row>
    <row r="86" spans="1:22" ht="15.75" thickBot="1" x14ac:dyDescent="0.3">
      <c r="A86" s="470"/>
      <c r="B86" s="471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</row>
    <row r="87" spans="1:22" s="315" customFormat="1" ht="25.5" customHeight="1" thickBot="1" x14ac:dyDescent="0.3">
      <c r="A87" s="453" t="s">
        <v>16</v>
      </c>
      <c r="B87" s="454"/>
      <c r="C87" s="454"/>
      <c r="D87" s="454"/>
      <c r="E87" s="483"/>
      <c r="F87" s="157">
        <f t="shared" ref="F87:V87" si="76">F14+F18+F24+F31+F37+F81+F85</f>
        <v>1557874016.3380001</v>
      </c>
      <c r="G87" s="157">
        <f t="shared" si="76"/>
        <v>1192174911.8253</v>
      </c>
      <c r="H87" s="157">
        <f t="shared" si="76"/>
        <v>365699104.51270002</v>
      </c>
      <c r="I87" s="157">
        <f t="shared" si="76"/>
        <v>16613093.018000001</v>
      </c>
      <c r="J87" s="157">
        <f t="shared" si="76"/>
        <v>71603764.147899985</v>
      </c>
      <c r="K87" s="157">
        <f t="shared" si="76"/>
        <v>259469431.00280005</v>
      </c>
      <c r="L87" s="157">
        <f t="shared" si="76"/>
        <v>17992184.804000001</v>
      </c>
      <c r="M87" s="157">
        <f t="shared" si="76"/>
        <v>20631.539999999106</v>
      </c>
      <c r="N87" s="157">
        <f t="shared" si="76"/>
        <v>16848625.432</v>
      </c>
      <c r="O87" s="157">
        <f t="shared" si="76"/>
        <v>422507111.04110003</v>
      </c>
      <c r="P87" s="157">
        <f t="shared" si="76"/>
        <v>656423251.82570004</v>
      </c>
      <c r="Q87" s="157">
        <f t="shared" si="76"/>
        <v>51781486.216500007</v>
      </c>
      <c r="R87" s="157">
        <f t="shared" si="76"/>
        <v>0</v>
      </c>
      <c r="S87" s="157">
        <f t="shared" si="76"/>
        <v>227161016.90000001</v>
      </c>
      <c r="T87" s="157">
        <f t="shared" si="76"/>
        <v>706805205.42135</v>
      </c>
      <c r="U87" s="157">
        <f t="shared" si="76"/>
        <v>161855290.45845002</v>
      </c>
      <c r="V87" s="157">
        <f t="shared" si="76"/>
        <v>51781486.216500007</v>
      </c>
    </row>
    <row r="90" spans="1:22" x14ac:dyDescent="0.25">
      <c r="A90" s="100"/>
    </row>
  </sheetData>
  <sheetProtection formatCells="0" formatColumns="0" formatRows="0" insertColumns="0" insertRows="0" insertHyperlinks="0" deleteColumns="0" deleteRows="0"/>
  <mergeCells count="32">
    <mergeCell ref="A87:E87"/>
    <mergeCell ref="A39:Q39"/>
    <mergeCell ref="A81:E81"/>
    <mergeCell ref="A38:R38"/>
    <mergeCell ref="A32:Q32"/>
    <mergeCell ref="A37:E37"/>
    <mergeCell ref="A83:R83"/>
    <mergeCell ref="A85:E85"/>
    <mergeCell ref="B1:Q1"/>
    <mergeCell ref="A4:A5"/>
    <mergeCell ref="B4:B5"/>
    <mergeCell ref="C4:C5"/>
    <mergeCell ref="D4:D5"/>
    <mergeCell ref="E4:E5"/>
    <mergeCell ref="F4:F5"/>
    <mergeCell ref="G4:G5"/>
    <mergeCell ref="H4:H5"/>
    <mergeCell ref="S4:V4"/>
    <mergeCell ref="A86:V86"/>
    <mergeCell ref="A25:V25"/>
    <mergeCell ref="A6:Q6"/>
    <mergeCell ref="A14:E14"/>
    <mergeCell ref="A15:Q15"/>
    <mergeCell ref="I4:M4"/>
    <mergeCell ref="N4:R4"/>
    <mergeCell ref="A18:E18"/>
    <mergeCell ref="A26:Q26"/>
    <mergeCell ref="A31:E31"/>
    <mergeCell ref="A20:Q20"/>
    <mergeCell ref="A24:E24"/>
    <mergeCell ref="S83:V83"/>
    <mergeCell ref="A16:V16"/>
  </mergeCells>
  <pageMargins left="0.35433070866141736" right="0.23622047244094491" top="0.59055118110236227" bottom="0.59055118110236227" header="0.31496062992125984" footer="0.31496062992125984"/>
  <pageSetup paperSize="8" scale="55" firstPageNumber="3" fitToHeight="3" orientation="landscape" r:id="rId1"/>
  <headerFooter>
    <oddFooter>&amp;L&amp;"Arial,Obyčejné"&amp;10Zastupitelstvo Olomouckého kraje 27. 2. 2017 
43. - Rozpočet Olomouckého kraje 2017 – nové investice
Příloha č. 1: Projekty Olomouckého kraje spolufinancované z evropských fondů &amp;R&amp;"Arial,Obyčejné"&amp;10Strana &amp;P (celkem 45)</oddFooter>
  </headerFooter>
  <rowBreaks count="1" manualBreakCount="1">
    <brk id="61" max="21" man="1"/>
  </rowBreaks>
  <ignoredErrors>
    <ignoredError sqref="K74 G74 I7" formula="1"/>
    <ignoredError sqref="H8" formula="1" formulaRange="1"/>
    <ignoredError sqref="G1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tabSelected="1" view="pageBreakPreview" zoomScale="60" zoomScaleNormal="80" workbookViewId="0">
      <pane ySplit="5" topLeftCell="A6" activePane="bottomLeft" state="frozen"/>
      <selection activeCell="B33" sqref="B33"/>
      <selection pane="bottomLeft" activeCell="K23" sqref="K23"/>
    </sheetView>
  </sheetViews>
  <sheetFormatPr defaultRowHeight="15" x14ac:dyDescent="0.25"/>
  <cols>
    <col min="1" max="1" width="7" style="99" customWidth="1"/>
    <col min="2" max="2" width="34" style="100" customWidth="1"/>
    <col min="3" max="4" width="9.7109375" style="99" customWidth="1"/>
    <col min="5" max="5" width="13.42578125" style="275" customWidth="1"/>
    <col min="6" max="6" width="18.7109375" style="100" customWidth="1"/>
    <col min="7" max="7" width="17.85546875" style="100" customWidth="1"/>
    <col min="8" max="9" width="17.42578125" style="100" customWidth="1"/>
    <col min="10" max="10" width="17.42578125" style="102" customWidth="1"/>
    <col min="11" max="13" width="17.42578125" style="100" customWidth="1"/>
    <col min="14" max="14" width="17.42578125" style="100" hidden="1" customWidth="1"/>
    <col min="15" max="15" width="15.42578125" style="103" customWidth="1"/>
    <col min="16" max="16" width="17.5703125" style="104" customWidth="1"/>
    <col min="17" max="17" width="14.85546875" style="103" customWidth="1"/>
    <col min="18" max="18" width="15.42578125" style="103" customWidth="1"/>
    <col min="19" max="19" width="13.42578125" style="103" customWidth="1"/>
    <col min="20" max="20" width="13.42578125" style="103" hidden="1" customWidth="1"/>
    <col min="21" max="21" width="17.5703125" style="103" customWidth="1"/>
    <col min="22" max="22" width="14.85546875" style="103" customWidth="1"/>
    <col min="23" max="23" width="16.28515625" style="103" customWidth="1"/>
    <col min="24" max="24" width="13.42578125" style="103" customWidth="1"/>
    <col min="25" max="25" width="13.42578125" style="103" hidden="1" customWidth="1"/>
    <col min="26" max="16384" width="9.140625" style="100"/>
  </cols>
  <sheetData>
    <row r="1" spans="1:25" ht="15.75" x14ac:dyDescent="0.25">
      <c r="B1" s="440" t="s">
        <v>5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264"/>
      <c r="T1" s="264"/>
      <c r="U1" s="264"/>
      <c r="V1" s="264"/>
      <c r="W1" s="264"/>
      <c r="X1" s="264"/>
      <c r="Y1" s="264"/>
    </row>
    <row r="2" spans="1:25" x14ac:dyDescent="0.25">
      <c r="Y2" s="103" t="s">
        <v>10</v>
      </c>
    </row>
    <row r="3" spans="1:25" ht="15.75" thickBot="1" x14ac:dyDescent="0.3">
      <c r="X3" s="103" t="s">
        <v>10</v>
      </c>
    </row>
    <row r="4" spans="1:25" s="266" customFormat="1" ht="15" customHeight="1" x14ac:dyDescent="0.25">
      <c r="A4" s="449" t="s">
        <v>4</v>
      </c>
      <c r="B4" s="447" t="s">
        <v>0</v>
      </c>
      <c r="C4" s="447" t="s">
        <v>17</v>
      </c>
      <c r="D4" s="447" t="s">
        <v>38</v>
      </c>
      <c r="E4" s="447" t="s">
        <v>3</v>
      </c>
      <c r="F4" s="447" t="s">
        <v>1</v>
      </c>
      <c r="G4" s="447" t="s">
        <v>9</v>
      </c>
      <c r="H4" s="447" t="s">
        <v>2</v>
      </c>
      <c r="I4" s="481" t="s">
        <v>116</v>
      </c>
      <c r="J4" s="429"/>
      <c r="K4" s="429"/>
      <c r="L4" s="429"/>
      <c r="M4" s="259"/>
      <c r="N4" s="259"/>
      <c r="O4" s="441" t="s">
        <v>114</v>
      </c>
      <c r="P4" s="429"/>
      <c r="Q4" s="429"/>
      <c r="R4" s="429"/>
      <c r="S4" s="495"/>
      <c r="T4" s="430"/>
      <c r="U4" s="441" t="s">
        <v>113</v>
      </c>
      <c r="V4" s="429"/>
      <c r="W4" s="429"/>
      <c r="X4" s="429"/>
      <c r="Y4" s="430"/>
    </row>
    <row r="5" spans="1:25" s="266" customFormat="1" ht="15.75" thickBot="1" x14ac:dyDescent="0.3">
      <c r="A5" s="450"/>
      <c r="B5" s="448"/>
      <c r="C5" s="448"/>
      <c r="D5" s="448"/>
      <c r="E5" s="448"/>
      <c r="F5" s="448"/>
      <c r="G5" s="448"/>
      <c r="H5" s="448"/>
      <c r="I5" s="261">
        <v>2016</v>
      </c>
      <c r="J5" s="261">
        <v>2017</v>
      </c>
      <c r="K5" s="261">
        <v>2018</v>
      </c>
      <c r="L5" s="261">
        <v>2019</v>
      </c>
      <c r="M5" s="261">
        <v>2020</v>
      </c>
      <c r="N5" s="261">
        <v>2021</v>
      </c>
      <c r="O5" s="262">
        <v>2016</v>
      </c>
      <c r="P5" s="262">
        <v>2017</v>
      </c>
      <c r="Q5" s="276">
        <v>2018</v>
      </c>
      <c r="R5" s="276">
        <v>2019</v>
      </c>
      <c r="S5" s="276">
        <v>2020</v>
      </c>
      <c r="T5" s="276">
        <v>2021</v>
      </c>
      <c r="U5" s="262">
        <v>2017</v>
      </c>
      <c r="V5" s="276">
        <v>2018</v>
      </c>
      <c r="W5" s="276">
        <v>2019</v>
      </c>
      <c r="X5" s="276">
        <v>2020</v>
      </c>
      <c r="Y5" s="263">
        <v>2021</v>
      </c>
    </row>
    <row r="6" spans="1:25" s="255" customFormat="1" ht="15" customHeight="1" thickBot="1" x14ac:dyDescent="0.3">
      <c r="A6" s="425" t="s">
        <v>163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7"/>
    </row>
    <row r="7" spans="1:25" s="255" customFormat="1" ht="48" customHeight="1" thickBot="1" x14ac:dyDescent="0.3">
      <c r="A7" s="215">
        <v>1</v>
      </c>
      <c r="B7" s="214" t="s">
        <v>182</v>
      </c>
      <c r="C7" s="204" t="s">
        <v>21</v>
      </c>
      <c r="D7" s="216" t="s">
        <v>40</v>
      </c>
      <c r="E7" s="217" t="s">
        <v>36</v>
      </c>
      <c r="F7" s="127">
        <v>7582000</v>
      </c>
      <c r="G7" s="127">
        <v>4754700</v>
      </c>
      <c r="H7" s="127">
        <v>528300</v>
      </c>
      <c r="I7" s="127">
        <v>0</v>
      </c>
      <c r="J7" s="127">
        <v>0</v>
      </c>
      <c r="K7" s="127">
        <v>264150</v>
      </c>
      <c r="L7" s="127">
        <v>264150</v>
      </c>
      <c r="M7" s="127">
        <v>0</v>
      </c>
      <c r="N7" s="127">
        <v>0</v>
      </c>
      <c r="O7" s="127">
        <v>0</v>
      </c>
      <c r="P7" s="127">
        <v>0</v>
      </c>
      <c r="Q7" s="127">
        <v>2377350</v>
      </c>
      <c r="R7" s="127">
        <v>2377350</v>
      </c>
      <c r="S7" s="127">
        <v>0</v>
      </c>
      <c r="T7" s="127">
        <v>0</v>
      </c>
      <c r="U7" s="127">
        <v>0</v>
      </c>
      <c r="V7" s="127">
        <v>2377350</v>
      </c>
      <c r="W7" s="127">
        <v>2377350</v>
      </c>
      <c r="X7" s="127">
        <v>0</v>
      </c>
      <c r="Y7" s="127">
        <v>0</v>
      </c>
    </row>
    <row r="8" spans="1:25" s="255" customFormat="1" ht="15" customHeight="1" thickBot="1" x14ac:dyDescent="0.3">
      <c r="A8" s="484" t="s">
        <v>16</v>
      </c>
      <c r="B8" s="461"/>
      <c r="C8" s="461"/>
      <c r="D8" s="461"/>
      <c r="E8" s="482"/>
      <c r="F8" s="316">
        <f>SUM(F7)</f>
        <v>7582000</v>
      </c>
      <c r="G8" s="316">
        <f t="shared" ref="G8:Y8" si="0">SUM(G7:G7)</f>
        <v>4754700</v>
      </c>
      <c r="H8" s="316">
        <f>H7</f>
        <v>528300</v>
      </c>
      <c r="I8" s="316">
        <f t="shared" si="0"/>
        <v>0</v>
      </c>
      <c r="J8" s="316">
        <f t="shared" si="0"/>
        <v>0</v>
      </c>
      <c r="K8" s="316">
        <f t="shared" si="0"/>
        <v>264150</v>
      </c>
      <c r="L8" s="316">
        <f t="shared" si="0"/>
        <v>264150</v>
      </c>
      <c r="M8" s="316">
        <f t="shared" si="0"/>
        <v>0</v>
      </c>
      <c r="N8" s="316">
        <f t="shared" si="0"/>
        <v>0</v>
      </c>
      <c r="O8" s="316">
        <f t="shared" si="0"/>
        <v>0</v>
      </c>
      <c r="P8" s="316">
        <f t="shared" si="0"/>
        <v>0</v>
      </c>
      <c r="Q8" s="316">
        <f t="shared" si="0"/>
        <v>2377350</v>
      </c>
      <c r="R8" s="316">
        <f t="shared" si="0"/>
        <v>2377350</v>
      </c>
      <c r="S8" s="316">
        <f t="shared" si="0"/>
        <v>0</v>
      </c>
      <c r="T8" s="316">
        <f t="shared" si="0"/>
        <v>0</v>
      </c>
      <c r="U8" s="316">
        <f t="shared" si="0"/>
        <v>0</v>
      </c>
      <c r="V8" s="316">
        <f t="shared" si="0"/>
        <v>2377350</v>
      </c>
      <c r="W8" s="316">
        <f t="shared" si="0"/>
        <v>2377350</v>
      </c>
      <c r="X8" s="316">
        <f t="shared" si="0"/>
        <v>0</v>
      </c>
      <c r="Y8" s="316">
        <f t="shared" si="0"/>
        <v>0</v>
      </c>
    </row>
    <row r="9" spans="1:25" s="255" customFormat="1" ht="15" customHeight="1" thickBot="1" x14ac:dyDescent="0.3">
      <c r="A9" s="493" t="s">
        <v>164</v>
      </c>
      <c r="B9" s="477"/>
      <c r="C9" s="477"/>
      <c r="D9" s="477"/>
      <c r="E9" s="477"/>
      <c r="F9" s="477"/>
      <c r="G9" s="477"/>
      <c r="H9" s="477"/>
      <c r="I9" s="477"/>
      <c r="J9" s="477"/>
      <c r="K9" s="477"/>
      <c r="L9" s="477"/>
      <c r="M9" s="477"/>
      <c r="N9" s="477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94"/>
    </row>
    <row r="10" spans="1:25" s="255" customFormat="1" ht="30" x14ac:dyDescent="0.25">
      <c r="A10" s="317">
        <v>1</v>
      </c>
      <c r="B10" s="307" t="s">
        <v>6</v>
      </c>
      <c r="C10" s="192" t="s">
        <v>7</v>
      </c>
      <c r="D10" s="192" t="s">
        <v>46</v>
      </c>
      <c r="E10" s="308" t="s">
        <v>54</v>
      </c>
      <c r="F10" s="198">
        <v>336620483.63999999</v>
      </c>
      <c r="G10" s="195">
        <v>319789459.45999998</v>
      </c>
      <c r="H10" s="196">
        <v>16831024.18</v>
      </c>
      <c r="I10" s="194">
        <v>4207756.05</v>
      </c>
      <c r="J10" s="57">
        <v>5872000</v>
      </c>
      <c r="K10" s="195">
        <v>5311634.07</v>
      </c>
      <c r="L10" s="195">
        <f>H10-I10-J10-K10</f>
        <v>1439634.0599999987</v>
      </c>
      <c r="M10" s="318">
        <v>0</v>
      </c>
      <c r="N10" s="319">
        <v>0</v>
      </c>
      <c r="O10" s="198">
        <v>0</v>
      </c>
      <c r="P10" s="57">
        <v>0</v>
      </c>
      <c r="Q10" s="195">
        <v>0</v>
      </c>
      <c r="R10" s="196">
        <v>0</v>
      </c>
      <c r="S10" s="196">
        <v>0</v>
      </c>
      <c r="T10" s="196">
        <v>0</v>
      </c>
      <c r="U10" s="194">
        <v>0</v>
      </c>
      <c r="V10" s="195">
        <v>0</v>
      </c>
      <c r="W10" s="195">
        <v>0</v>
      </c>
      <c r="X10" s="197">
        <v>0</v>
      </c>
      <c r="Y10" s="319">
        <v>0</v>
      </c>
    </row>
    <row r="11" spans="1:25" s="102" customFormat="1" ht="45" customHeight="1" x14ac:dyDescent="0.25">
      <c r="A11" s="218">
        <v>2</v>
      </c>
      <c r="B11" s="250" t="s">
        <v>190</v>
      </c>
      <c r="C11" s="251" t="s">
        <v>35</v>
      </c>
      <c r="D11" s="251" t="s">
        <v>46</v>
      </c>
      <c r="E11" s="132" t="s">
        <v>8</v>
      </c>
      <c r="F11" s="320">
        <v>1847040</v>
      </c>
      <c r="G11" s="136">
        <v>1754688</v>
      </c>
      <c r="H11" s="254">
        <v>92352</v>
      </c>
      <c r="I11" s="252">
        <f>H11/6</f>
        <v>15392</v>
      </c>
      <c r="J11" s="12">
        <f>(H11-I11)/2</f>
        <v>38480</v>
      </c>
      <c r="K11" s="136">
        <f>(H11-I11)/2</f>
        <v>38480</v>
      </c>
      <c r="L11" s="136">
        <v>0</v>
      </c>
      <c r="M11" s="253">
        <v>0</v>
      </c>
      <c r="N11" s="321">
        <v>0</v>
      </c>
      <c r="O11" s="322">
        <v>0</v>
      </c>
      <c r="P11" s="136">
        <v>0</v>
      </c>
      <c r="Q11" s="136">
        <v>0</v>
      </c>
      <c r="R11" s="254">
        <v>0</v>
      </c>
      <c r="S11" s="254">
        <v>0</v>
      </c>
      <c r="T11" s="254">
        <v>0</v>
      </c>
      <c r="U11" s="252">
        <v>0</v>
      </c>
      <c r="V11" s="136">
        <v>0</v>
      </c>
      <c r="W11" s="136">
        <v>0</v>
      </c>
      <c r="X11" s="253">
        <v>0</v>
      </c>
      <c r="Y11" s="321">
        <v>0</v>
      </c>
    </row>
    <row r="12" spans="1:25" s="102" customFormat="1" ht="66" customHeight="1" x14ac:dyDescent="0.25">
      <c r="A12" s="218">
        <v>3</v>
      </c>
      <c r="B12" s="250" t="s">
        <v>100</v>
      </c>
      <c r="C12" s="251" t="s">
        <v>35</v>
      </c>
      <c r="D12" s="251" t="s">
        <v>46</v>
      </c>
      <c r="E12" s="132" t="s">
        <v>8</v>
      </c>
      <c r="F12" s="320">
        <v>1533883</v>
      </c>
      <c r="G12" s="136">
        <v>1457189</v>
      </c>
      <c r="H12" s="254">
        <v>76694</v>
      </c>
      <c r="I12" s="252">
        <f>H12/6</f>
        <v>12782.333333333334</v>
      </c>
      <c r="J12" s="12">
        <f>(H12-I12)/2</f>
        <v>31955.833333333332</v>
      </c>
      <c r="K12" s="136">
        <f>(H12-I12)/2</f>
        <v>31955.833333333332</v>
      </c>
      <c r="L12" s="136">
        <v>0</v>
      </c>
      <c r="M12" s="253">
        <v>0</v>
      </c>
      <c r="N12" s="321">
        <v>0</v>
      </c>
      <c r="O12" s="322">
        <v>0</v>
      </c>
      <c r="P12" s="136">
        <v>0</v>
      </c>
      <c r="Q12" s="136">
        <v>0</v>
      </c>
      <c r="R12" s="136">
        <v>0</v>
      </c>
      <c r="S12" s="254">
        <v>0</v>
      </c>
      <c r="T12" s="254">
        <v>0</v>
      </c>
      <c r="U12" s="252">
        <v>0</v>
      </c>
      <c r="V12" s="136">
        <v>0</v>
      </c>
      <c r="W12" s="136">
        <v>0</v>
      </c>
      <c r="X12" s="253">
        <v>0</v>
      </c>
      <c r="Y12" s="321">
        <v>0</v>
      </c>
    </row>
    <row r="13" spans="1:25" s="102" customFormat="1" ht="45" customHeight="1" x14ac:dyDescent="0.25">
      <c r="A13" s="218">
        <v>4</v>
      </c>
      <c r="B13" s="250" t="s">
        <v>61</v>
      </c>
      <c r="C13" s="251" t="s">
        <v>35</v>
      </c>
      <c r="D13" s="251" t="s">
        <v>46</v>
      </c>
      <c r="E13" s="132" t="s">
        <v>8</v>
      </c>
      <c r="F13" s="320">
        <v>1545500</v>
      </c>
      <c r="G13" s="136">
        <v>1468225</v>
      </c>
      <c r="H13" s="254">
        <f>F13-G13</f>
        <v>77275</v>
      </c>
      <c r="I13" s="252">
        <f>H13/6</f>
        <v>12879.166666666666</v>
      </c>
      <c r="J13" s="12">
        <f>(H13-I13)/2</f>
        <v>32197.916666666668</v>
      </c>
      <c r="K13" s="136">
        <f>(H13-I13)/2</f>
        <v>32197.916666666668</v>
      </c>
      <c r="L13" s="136">
        <v>0</v>
      </c>
      <c r="M13" s="253">
        <v>0</v>
      </c>
      <c r="N13" s="321">
        <v>0</v>
      </c>
      <c r="O13" s="322">
        <v>0</v>
      </c>
      <c r="P13" s="136">
        <v>0</v>
      </c>
      <c r="Q13" s="136">
        <v>0</v>
      </c>
      <c r="R13" s="136">
        <v>0</v>
      </c>
      <c r="S13" s="254">
        <v>0</v>
      </c>
      <c r="T13" s="254">
        <v>0</v>
      </c>
      <c r="U13" s="252">
        <v>0</v>
      </c>
      <c r="V13" s="136">
        <v>0</v>
      </c>
      <c r="W13" s="136">
        <v>0</v>
      </c>
      <c r="X13" s="253">
        <v>0</v>
      </c>
      <c r="Y13" s="321">
        <v>0</v>
      </c>
    </row>
    <row r="14" spans="1:25" s="102" customFormat="1" ht="64.5" customHeight="1" x14ac:dyDescent="0.25">
      <c r="A14" s="218">
        <v>5</v>
      </c>
      <c r="B14" s="250" t="s">
        <v>191</v>
      </c>
      <c r="C14" s="251" t="s">
        <v>35</v>
      </c>
      <c r="D14" s="251" t="s">
        <v>46</v>
      </c>
      <c r="E14" s="132" t="s">
        <v>8</v>
      </c>
      <c r="F14" s="320">
        <v>1203085</v>
      </c>
      <c r="G14" s="136">
        <v>1142931</v>
      </c>
      <c r="H14" s="254">
        <v>60154</v>
      </c>
      <c r="I14" s="252">
        <f>H14/6</f>
        <v>10025.666666666666</v>
      </c>
      <c r="J14" s="12">
        <f t="shared" ref="J14" si="1">(H14-I14)/2</f>
        <v>25064.166666666668</v>
      </c>
      <c r="K14" s="136">
        <f t="shared" ref="K14" si="2">(H14-I14)/2</f>
        <v>25064.166666666668</v>
      </c>
      <c r="L14" s="136">
        <v>0</v>
      </c>
      <c r="M14" s="253">
        <v>0</v>
      </c>
      <c r="N14" s="321">
        <v>0</v>
      </c>
      <c r="O14" s="320">
        <v>0</v>
      </c>
      <c r="P14" s="136">
        <v>0</v>
      </c>
      <c r="Q14" s="136">
        <v>0</v>
      </c>
      <c r="R14" s="151">
        <v>0</v>
      </c>
      <c r="S14" s="254">
        <v>0</v>
      </c>
      <c r="T14" s="254">
        <v>0</v>
      </c>
      <c r="U14" s="252">
        <v>0</v>
      </c>
      <c r="V14" s="136">
        <v>0</v>
      </c>
      <c r="W14" s="136">
        <v>0</v>
      </c>
      <c r="X14" s="253">
        <v>0</v>
      </c>
      <c r="Y14" s="321">
        <v>0</v>
      </c>
    </row>
    <row r="15" spans="1:25" s="102" customFormat="1" ht="45" customHeight="1" thickBot="1" x14ac:dyDescent="0.3">
      <c r="A15" s="323">
        <v>6</v>
      </c>
      <c r="B15" s="324" t="s">
        <v>192</v>
      </c>
      <c r="C15" s="181" t="s">
        <v>35</v>
      </c>
      <c r="D15" s="181" t="s">
        <v>46</v>
      </c>
      <c r="E15" s="182" t="s">
        <v>8</v>
      </c>
      <c r="F15" s="325">
        <v>2462500</v>
      </c>
      <c r="G15" s="184">
        <v>2339375</v>
      </c>
      <c r="H15" s="185">
        <v>123125</v>
      </c>
      <c r="I15" s="183">
        <f>H15/4</f>
        <v>30781.25</v>
      </c>
      <c r="J15" s="118">
        <f>H15-I15-K15</f>
        <v>61562.5</v>
      </c>
      <c r="K15" s="184">
        <f>H15/4</f>
        <v>30781.25</v>
      </c>
      <c r="L15" s="118">
        <v>0</v>
      </c>
      <c r="M15" s="119">
        <v>0</v>
      </c>
      <c r="N15" s="326">
        <v>0</v>
      </c>
      <c r="O15" s="327">
        <v>0</v>
      </c>
      <c r="P15" s="328">
        <v>0</v>
      </c>
      <c r="Q15" s="328">
        <v>0</v>
      </c>
      <c r="R15" s="184">
        <v>0</v>
      </c>
      <c r="S15" s="254">
        <v>0</v>
      </c>
      <c r="T15" s="254">
        <v>0</v>
      </c>
      <c r="U15" s="183">
        <v>0</v>
      </c>
      <c r="V15" s="184">
        <v>0</v>
      </c>
      <c r="W15" s="184">
        <v>0</v>
      </c>
      <c r="X15" s="175">
        <v>0</v>
      </c>
      <c r="Y15" s="326">
        <v>0</v>
      </c>
    </row>
    <row r="16" spans="1:25" s="272" customFormat="1" ht="15.75" thickBot="1" x14ac:dyDescent="0.3">
      <c r="A16" s="484" t="s">
        <v>16</v>
      </c>
      <c r="B16" s="500"/>
      <c r="C16" s="500"/>
      <c r="D16" s="500"/>
      <c r="E16" s="501"/>
      <c r="F16" s="329">
        <f>SUM(F10:F15)</f>
        <v>345212491.63999999</v>
      </c>
      <c r="G16" s="329">
        <f t="shared" ref="G16:T16" si="3">SUM(G10:G15)</f>
        <v>327951867.45999998</v>
      </c>
      <c r="H16" s="329">
        <f t="shared" si="3"/>
        <v>17260624.18</v>
      </c>
      <c r="I16" s="329">
        <f t="shared" si="3"/>
        <v>4289616.4666666668</v>
      </c>
      <c r="J16" s="330">
        <f t="shared" si="3"/>
        <v>6061260.416666667</v>
      </c>
      <c r="K16" s="329">
        <f t="shared" si="3"/>
        <v>5470113.2366666673</v>
      </c>
      <c r="L16" s="329">
        <f t="shared" si="3"/>
        <v>1439634.0599999987</v>
      </c>
      <c r="M16" s="329">
        <v>0</v>
      </c>
      <c r="N16" s="329">
        <v>0</v>
      </c>
      <c r="O16" s="316">
        <f t="shared" si="3"/>
        <v>0</v>
      </c>
      <c r="P16" s="331">
        <f t="shared" si="3"/>
        <v>0</v>
      </c>
      <c r="Q16" s="316">
        <f t="shared" si="3"/>
        <v>0</v>
      </c>
      <c r="R16" s="332">
        <f t="shared" si="3"/>
        <v>0</v>
      </c>
      <c r="S16" s="332">
        <f t="shared" si="3"/>
        <v>0</v>
      </c>
      <c r="T16" s="332">
        <f t="shared" si="3"/>
        <v>0</v>
      </c>
      <c r="U16" s="333">
        <f t="shared" ref="U16:Y16" si="4">SUM(U10:U15)</f>
        <v>0</v>
      </c>
      <c r="V16" s="333">
        <f t="shared" si="4"/>
        <v>0</v>
      </c>
      <c r="W16" s="333">
        <f t="shared" si="4"/>
        <v>0</v>
      </c>
      <c r="X16" s="333">
        <f t="shared" si="4"/>
        <v>0</v>
      </c>
      <c r="Y16" s="333">
        <f t="shared" si="4"/>
        <v>0</v>
      </c>
    </row>
    <row r="17" spans="1:27" s="255" customFormat="1" ht="15.75" customHeight="1" thickBot="1" x14ac:dyDescent="0.3">
      <c r="A17" s="425" t="s">
        <v>90</v>
      </c>
      <c r="B17" s="426"/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7"/>
      <c r="Y17" s="124"/>
    </row>
    <row r="18" spans="1:27" s="255" customFormat="1" ht="42" customHeight="1" thickBot="1" x14ac:dyDescent="0.3">
      <c r="A18" s="215">
        <v>1</v>
      </c>
      <c r="B18" s="43" t="s">
        <v>18</v>
      </c>
      <c r="C18" s="14" t="s">
        <v>7</v>
      </c>
      <c r="D18" s="14" t="s">
        <v>39</v>
      </c>
      <c r="E18" s="15" t="s">
        <v>8</v>
      </c>
      <c r="F18" s="11">
        <v>172000000</v>
      </c>
      <c r="G18" s="12">
        <v>172000000</v>
      </c>
      <c r="H18" s="13">
        <v>0</v>
      </c>
      <c r="I18" s="334">
        <v>0</v>
      </c>
      <c r="J18" s="335">
        <v>0</v>
      </c>
      <c r="K18" s="336">
        <v>0</v>
      </c>
      <c r="L18" s="337">
        <v>0</v>
      </c>
      <c r="M18" s="336">
        <v>0</v>
      </c>
      <c r="N18" s="338">
        <v>0</v>
      </c>
      <c r="O18" s="334">
        <v>0</v>
      </c>
      <c r="P18" s="335">
        <v>0</v>
      </c>
      <c r="Q18" s="336">
        <v>0</v>
      </c>
      <c r="R18" s="336">
        <v>0</v>
      </c>
      <c r="S18" s="338">
        <v>0</v>
      </c>
      <c r="T18" s="339">
        <v>0</v>
      </c>
      <c r="U18" s="334">
        <v>0</v>
      </c>
      <c r="V18" s="336">
        <v>0</v>
      </c>
      <c r="W18" s="337">
        <v>0</v>
      </c>
      <c r="X18" s="337">
        <v>0</v>
      </c>
      <c r="Y18" s="338">
        <v>0</v>
      </c>
    </row>
    <row r="19" spans="1:27" s="272" customFormat="1" ht="15.75" thickBot="1" x14ac:dyDescent="0.3">
      <c r="A19" s="460" t="s">
        <v>16</v>
      </c>
      <c r="B19" s="461"/>
      <c r="C19" s="461"/>
      <c r="D19" s="461"/>
      <c r="E19" s="482"/>
      <c r="F19" s="316">
        <f>SUM(F18)</f>
        <v>172000000</v>
      </c>
      <c r="G19" s="316">
        <f t="shared" ref="G19:T19" si="5">SUM(G18)</f>
        <v>172000000</v>
      </c>
      <c r="H19" s="316">
        <f t="shared" si="5"/>
        <v>0</v>
      </c>
      <c r="I19" s="329">
        <f t="shared" si="5"/>
        <v>0</v>
      </c>
      <c r="J19" s="330">
        <f t="shared" si="5"/>
        <v>0</v>
      </c>
      <c r="K19" s="329">
        <f t="shared" si="5"/>
        <v>0</v>
      </c>
      <c r="L19" s="329">
        <f t="shared" si="5"/>
        <v>0</v>
      </c>
      <c r="M19" s="329">
        <v>0</v>
      </c>
      <c r="N19" s="329">
        <v>0</v>
      </c>
      <c r="O19" s="329">
        <f t="shared" si="5"/>
        <v>0</v>
      </c>
      <c r="P19" s="330">
        <f t="shared" si="5"/>
        <v>0</v>
      </c>
      <c r="Q19" s="329">
        <f t="shared" si="5"/>
        <v>0</v>
      </c>
      <c r="R19" s="333">
        <f t="shared" si="5"/>
        <v>0</v>
      </c>
      <c r="S19" s="333">
        <f t="shared" si="5"/>
        <v>0</v>
      </c>
      <c r="T19" s="333">
        <f t="shared" si="5"/>
        <v>0</v>
      </c>
      <c r="U19" s="316">
        <f t="shared" ref="U19:Y19" si="6">SUM(U18)</f>
        <v>0</v>
      </c>
      <c r="V19" s="316">
        <f t="shared" si="6"/>
        <v>0</v>
      </c>
      <c r="W19" s="332">
        <f t="shared" si="6"/>
        <v>0</v>
      </c>
      <c r="X19" s="332">
        <f t="shared" si="6"/>
        <v>0</v>
      </c>
      <c r="Y19" s="332">
        <f t="shared" si="6"/>
        <v>0</v>
      </c>
    </row>
    <row r="20" spans="1:27" s="255" customFormat="1" ht="15.75" thickBot="1" x14ac:dyDescent="0.3">
      <c r="A20" s="425" t="s">
        <v>106</v>
      </c>
      <c r="B20" s="426"/>
      <c r="C20" s="426"/>
      <c r="D20" s="426"/>
      <c r="E20" s="426"/>
      <c r="F20" s="426"/>
      <c r="G20" s="426"/>
      <c r="H20" s="426"/>
      <c r="I20" s="502"/>
      <c r="J20" s="502"/>
      <c r="K20" s="502"/>
      <c r="L20" s="502"/>
      <c r="M20" s="502"/>
      <c r="N20" s="502"/>
      <c r="O20" s="502"/>
      <c r="P20" s="502"/>
      <c r="Q20" s="502"/>
      <c r="R20" s="503"/>
      <c r="S20" s="124"/>
      <c r="T20" s="124"/>
      <c r="U20" s="124"/>
      <c r="V20" s="124"/>
      <c r="W20" s="124"/>
      <c r="X20" s="124"/>
      <c r="Y20" s="124"/>
    </row>
    <row r="21" spans="1:27" s="255" customFormat="1" ht="30" x14ac:dyDescent="0.25">
      <c r="A21" s="166">
        <v>1</v>
      </c>
      <c r="B21" s="340" t="s">
        <v>148</v>
      </c>
      <c r="C21" s="341" t="s">
        <v>7</v>
      </c>
      <c r="D21" s="341" t="s">
        <v>47</v>
      </c>
      <c r="E21" s="342" t="s">
        <v>149</v>
      </c>
      <c r="F21" s="133">
        <v>19400472</v>
      </c>
      <c r="G21" s="134">
        <v>18430448.399999999</v>
      </c>
      <c r="H21" s="137">
        <v>970023.6</v>
      </c>
      <c r="I21" s="343">
        <v>162000</v>
      </c>
      <c r="J21" s="57">
        <v>162000</v>
      </c>
      <c r="K21" s="344">
        <v>162000</v>
      </c>
      <c r="L21" s="344">
        <v>162000</v>
      </c>
      <c r="M21" s="344">
        <f>162000+160023.6</f>
        <v>322023.59999999998</v>
      </c>
      <c r="N21" s="345">
        <v>0</v>
      </c>
      <c r="O21" s="343">
        <v>803700</v>
      </c>
      <c r="P21" s="57">
        <v>879000</v>
      </c>
      <c r="Q21" s="344">
        <v>0</v>
      </c>
      <c r="R21" s="344">
        <v>0</v>
      </c>
      <c r="S21" s="346">
        <v>0</v>
      </c>
      <c r="T21" s="347">
        <v>0</v>
      </c>
      <c r="U21" s="343">
        <v>0</v>
      </c>
      <c r="V21" s="344">
        <v>0</v>
      </c>
      <c r="W21" s="344">
        <v>0</v>
      </c>
      <c r="X21" s="346">
        <v>0</v>
      </c>
      <c r="Y21" s="347">
        <v>0</v>
      </c>
      <c r="Z21" s="348"/>
      <c r="AA21" s="348"/>
    </row>
    <row r="22" spans="1:27" s="102" customFormat="1" ht="39" customHeight="1" x14ac:dyDescent="0.25">
      <c r="A22" s="51">
        <v>2</v>
      </c>
      <c r="B22" s="349" t="s">
        <v>63</v>
      </c>
      <c r="C22" s="251" t="s">
        <v>21</v>
      </c>
      <c r="D22" s="251" t="s">
        <v>39</v>
      </c>
      <c r="E22" s="132">
        <v>2017</v>
      </c>
      <c r="F22" s="350">
        <v>34579678</v>
      </c>
      <c r="G22" s="136">
        <v>8409151.5999999996</v>
      </c>
      <c r="H22" s="254">
        <f>F22-G22</f>
        <v>26170526.399999999</v>
      </c>
      <c r="I22" s="252">
        <v>0</v>
      </c>
      <c r="J22" s="12">
        <f>H22</f>
        <v>26170526.399999999</v>
      </c>
      <c r="K22" s="136">
        <v>0</v>
      </c>
      <c r="L22" s="136">
        <v>0</v>
      </c>
      <c r="M22" s="136">
        <v>0</v>
      </c>
      <c r="N22" s="254">
        <v>0</v>
      </c>
      <c r="O22" s="252">
        <v>0</v>
      </c>
      <c r="P22" s="12">
        <v>8409151.5999999996</v>
      </c>
      <c r="Q22" s="136">
        <v>0</v>
      </c>
      <c r="R22" s="136">
        <v>0</v>
      </c>
      <c r="S22" s="135">
        <v>0</v>
      </c>
      <c r="T22" s="351">
        <v>0</v>
      </c>
      <c r="U22" s="252">
        <v>8918000</v>
      </c>
      <c r="V22" s="136">
        <v>0</v>
      </c>
      <c r="W22" s="136">
        <v>0</v>
      </c>
      <c r="X22" s="253">
        <v>0</v>
      </c>
      <c r="Y22" s="351">
        <v>0</v>
      </c>
      <c r="Z22" s="348"/>
      <c r="AA22" s="348"/>
    </row>
    <row r="23" spans="1:27" s="102" customFormat="1" ht="39" customHeight="1" x14ac:dyDescent="0.25">
      <c r="A23" s="51">
        <v>3</v>
      </c>
      <c r="B23" s="161" t="s">
        <v>65</v>
      </c>
      <c r="C23" s="14" t="s">
        <v>21</v>
      </c>
      <c r="D23" s="14" t="s">
        <v>39</v>
      </c>
      <c r="E23" s="77">
        <v>2017</v>
      </c>
      <c r="F23" s="350">
        <f>SUM(G23:H23)</f>
        <v>8504395</v>
      </c>
      <c r="G23" s="136">
        <f>SUM(O23:T23)</f>
        <v>3335052</v>
      </c>
      <c r="H23" s="254">
        <f>SUM(I23:N23)</f>
        <v>5169343</v>
      </c>
      <c r="I23" s="252">
        <v>166375</v>
      </c>
      <c r="J23" s="12">
        <f>5002578+390</f>
        <v>5002968</v>
      </c>
      <c r="K23" s="136">
        <v>0</v>
      </c>
      <c r="L23" s="136">
        <v>0</v>
      </c>
      <c r="M23" s="136">
        <v>0</v>
      </c>
      <c r="N23" s="254">
        <v>0</v>
      </c>
      <c r="O23" s="252">
        <v>0</v>
      </c>
      <c r="P23" s="12">
        <v>3335052</v>
      </c>
      <c r="Q23" s="136">
        <v>0</v>
      </c>
      <c r="R23" s="136">
        <v>0</v>
      </c>
      <c r="S23" s="135">
        <v>0</v>
      </c>
      <c r="T23" s="351">
        <v>0</v>
      </c>
      <c r="U23" s="252">
        <v>3337000</v>
      </c>
      <c r="V23" s="136">
        <v>0</v>
      </c>
      <c r="W23" s="136">
        <v>0</v>
      </c>
      <c r="X23" s="253">
        <v>0</v>
      </c>
      <c r="Y23" s="351">
        <v>0</v>
      </c>
      <c r="Z23" s="348"/>
      <c r="AA23" s="348"/>
    </row>
    <row r="24" spans="1:27" s="102" customFormat="1" ht="33" customHeight="1" x14ac:dyDescent="0.25">
      <c r="A24" s="51">
        <v>4</v>
      </c>
      <c r="B24" s="352" t="s">
        <v>23</v>
      </c>
      <c r="C24" s="251" t="s">
        <v>21</v>
      </c>
      <c r="D24" s="251" t="s">
        <v>39</v>
      </c>
      <c r="E24" s="132">
        <v>2017</v>
      </c>
      <c r="F24" s="353">
        <f>SUM(G24:H24)</f>
        <v>44082635.200000003</v>
      </c>
      <c r="G24" s="354">
        <f>SUM(O24:T24)</f>
        <v>14241962.4</v>
      </c>
      <c r="H24" s="355">
        <f>SUM(I24:N24)</f>
        <v>29840672.800000004</v>
      </c>
      <c r="I24" s="356">
        <v>499394.1</v>
      </c>
      <c r="J24" s="12">
        <v>29341278.700000003</v>
      </c>
      <c r="K24" s="136">
        <v>0</v>
      </c>
      <c r="L24" s="136">
        <v>0</v>
      </c>
      <c r="M24" s="136">
        <v>0</v>
      </c>
      <c r="N24" s="254">
        <v>0</v>
      </c>
      <c r="O24" s="252">
        <v>0</v>
      </c>
      <c r="P24" s="12">
        <v>14241962.4</v>
      </c>
      <c r="Q24" s="136">
        <v>0</v>
      </c>
      <c r="R24" s="136">
        <v>0</v>
      </c>
      <c r="S24" s="135">
        <v>0</v>
      </c>
      <c r="T24" s="351">
        <v>0</v>
      </c>
      <c r="U24" s="252">
        <v>14241962.4</v>
      </c>
      <c r="V24" s="136">
        <v>0</v>
      </c>
      <c r="W24" s="136">
        <v>0</v>
      </c>
      <c r="X24" s="253">
        <v>0</v>
      </c>
      <c r="Y24" s="321">
        <v>0</v>
      </c>
      <c r="Z24" s="357"/>
      <c r="AA24" s="357"/>
    </row>
    <row r="25" spans="1:27" ht="42.75" customHeight="1" x14ac:dyDescent="0.25">
      <c r="A25" s="309">
        <v>5</v>
      </c>
      <c r="B25" s="358" t="s">
        <v>193</v>
      </c>
      <c r="C25" s="131" t="s">
        <v>35</v>
      </c>
      <c r="D25" s="131" t="s">
        <v>47</v>
      </c>
      <c r="E25" s="359" t="s">
        <v>54</v>
      </c>
      <c r="F25" s="133">
        <v>15859575</v>
      </c>
      <c r="G25" s="134">
        <v>15859575</v>
      </c>
      <c r="H25" s="360">
        <v>0</v>
      </c>
      <c r="I25" s="133">
        <v>0</v>
      </c>
      <c r="J25" s="136">
        <f t="shared" ref="J25" si="7">(H25-I25)/2</f>
        <v>0</v>
      </c>
      <c r="K25" s="134">
        <v>0</v>
      </c>
      <c r="L25" s="134">
        <v>0</v>
      </c>
      <c r="M25" s="134">
        <v>0</v>
      </c>
      <c r="N25" s="137">
        <v>0</v>
      </c>
      <c r="O25" s="133">
        <v>0</v>
      </c>
      <c r="P25" s="136">
        <v>0</v>
      </c>
      <c r="Q25" s="134">
        <v>0</v>
      </c>
      <c r="R25" s="134">
        <v>0</v>
      </c>
      <c r="S25" s="135">
        <v>0</v>
      </c>
      <c r="T25" s="351">
        <v>0</v>
      </c>
      <c r="U25" s="133">
        <v>0</v>
      </c>
      <c r="V25" s="134">
        <v>0</v>
      </c>
      <c r="W25" s="134">
        <v>0</v>
      </c>
      <c r="X25" s="135">
        <v>0</v>
      </c>
      <c r="Y25" s="321">
        <v>0</v>
      </c>
      <c r="Z25" s="273"/>
      <c r="AA25" s="273"/>
    </row>
    <row r="26" spans="1:27" ht="48.75" customHeight="1" x14ac:dyDescent="0.25">
      <c r="A26" s="51">
        <v>6</v>
      </c>
      <c r="B26" s="358" t="s">
        <v>194</v>
      </c>
      <c r="C26" s="131" t="s">
        <v>35</v>
      </c>
      <c r="D26" s="131" t="s">
        <v>47</v>
      </c>
      <c r="E26" s="359" t="s">
        <v>54</v>
      </c>
      <c r="F26" s="133">
        <v>12556900</v>
      </c>
      <c r="G26" s="134">
        <v>12556900</v>
      </c>
      <c r="H26" s="137">
        <v>0</v>
      </c>
      <c r="I26" s="133">
        <v>0</v>
      </c>
      <c r="J26" s="136">
        <v>0</v>
      </c>
      <c r="K26" s="134">
        <v>0</v>
      </c>
      <c r="L26" s="134">
        <v>0</v>
      </c>
      <c r="M26" s="134">
        <v>0</v>
      </c>
      <c r="N26" s="137">
        <v>0</v>
      </c>
      <c r="O26" s="133">
        <v>0</v>
      </c>
      <c r="P26" s="136">
        <v>0</v>
      </c>
      <c r="Q26" s="134">
        <v>0</v>
      </c>
      <c r="R26" s="134">
        <v>0</v>
      </c>
      <c r="S26" s="135">
        <v>0</v>
      </c>
      <c r="T26" s="351">
        <v>0</v>
      </c>
      <c r="U26" s="133">
        <v>0</v>
      </c>
      <c r="V26" s="134">
        <v>0</v>
      </c>
      <c r="W26" s="134">
        <v>0</v>
      </c>
      <c r="X26" s="135">
        <v>0</v>
      </c>
      <c r="Y26" s="321">
        <v>0</v>
      </c>
      <c r="Z26" s="273"/>
      <c r="AA26" s="273"/>
    </row>
    <row r="27" spans="1:27" s="255" customFormat="1" ht="66.75" customHeight="1" thickBot="1" x14ac:dyDescent="0.3">
      <c r="A27" s="361">
        <v>7</v>
      </c>
      <c r="B27" s="362" t="s">
        <v>195</v>
      </c>
      <c r="C27" s="363" t="s">
        <v>35</v>
      </c>
      <c r="D27" s="363" t="s">
        <v>47</v>
      </c>
      <c r="E27" s="364" t="s">
        <v>26</v>
      </c>
      <c r="F27" s="133">
        <v>11574281</v>
      </c>
      <c r="G27" s="134">
        <v>11574281</v>
      </c>
      <c r="H27" s="137">
        <v>0</v>
      </c>
      <c r="I27" s="219">
        <f>H27/6</f>
        <v>0</v>
      </c>
      <c r="J27" s="184">
        <f t="shared" ref="J27" si="8">(H27-I27)/2</f>
        <v>0</v>
      </c>
      <c r="K27" s="220">
        <f t="shared" ref="K27" si="9">(H27-I27)/2</f>
        <v>0</v>
      </c>
      <c r="L27" s="220">
        <v>0</v>
      </c>
      <c r="M27" s="220">
        <v>0</v>
      </c>
      <c r="N27" s="365">
        <v>0</v>
      </c>
      <c r="O27" s="219">
        <v>0</v>
      </c>
      <c r="P27" s="184">
        <v>0</v>
      </c>
      <c r="Q27" s="220">
        <v>0</v>
      </c>
      <c r="R27" s="220">
        <v>0</v>
      </c>
      <c r="S27" s="366">
        <v>0</v>
      </c>
      <c r="T27" s="367">
        <v>0</v>
      </c>
      <c r="U27" s="219">
        <v>0</v>
      </c>
      <c r="V27" s="220">
        <v>0</v>
      </c>
      <c r="W27" s="220">
        <v>0</v>
      </c>
      <c r="X27" s="366">
        <v>0</v>
      </c>
      <c r="Y27" s="367">
        <v>0</v>
      </c>
      <c r="Z27" s="348"/>
      <c r="AA27" s="348"/>
    </row>
    <row r="28" spans="1:27" s="272" customFormat="1" ht="15.75" thickBot="1" x14ac:dyDescent="0.3">
      <c r="A28" s="460" t="s">
        <v>16</v>
      </c>
      <c r="B28" s="461"/>
      <c r="C28" s="461"/>
      <c r="D28" s="461"/>
      <c r="E28" s="482"/>
      <c r="F28" s="316">
        <f>SUM(F21:F27)</f>
        <v>146557936.19999999</v>
      </c>
      <c r="G28" s="316">
        <f t="shared" ref="G28:Q28" si="10">SUM(G21:G27)</f>
        <v>84407370.400000006</v>
      </c>
      <c r="H28" s="316">
        <f t="shared" si="10"/>
        <v>62150565.800000004</v>
      </c>
      <c r="I28" s="329">
        <f t="shared" si="10"/>
        <v>827769.1</v>
      </c>
      <c r="J28" s="330">
        <f t="shared" si="10"/>
        <v>60676773.100000001</v>
      </c>
      <c r="K28" s="329">
        <f t="shared" si="10"/>
        <v>162000</v>
      </c>
      <c r="L28" s="329">
        <f t="shared" si="10"/>
        <v>162000</v>
      </c>
      <c r="M28" s="329">
        <f t="shared" si="10"/>
        <v>322023.59999999998</v>
      </c>
      <c r="N28" s="329">
        <f t="shared" si="10"/>
        <v>0</v>
      </c>
      <c r="O28" s="329">
        <f t="shared" si="10"/>
        <v>803700</v>
      </c>
      <c r="P28" s="330">
        <f t="shared" si="10"/>
        <v>26865166</v>
      </c>
      <c r="Q28" s="329">
        <f t="shared" si="10"/>
        <v>0</v>
      </c>
      <c r="R28" s="329">
        <f>SUM(R21:R27)</f>
        <v>0</v>
      </c>
      <c r="S28" s="329">
        <f t="shared" ref="S28:Y28" si="11">SUM(S21:S27)</f>
        <v>0</v>
      </c>
      <c r="T28" s="329">
        <f t="shared" si="11"/>
        <v>0</v>
      </c>
      <c r="U28" s="329">
        <f t="shared" si="11"/>
        <v>26496962.399999999</v>
      </c>
      <c r="V28" s="329">
        <f t="shared" si="11"/>
        <v>0</v>
      </c>
      <c r="W28" s="329">
        <f t="shared" si="11"/>
        <v>0</v>
      </c>
      <c r="X28" s="329">
        <f t="shared" si="11"/>
        <v>0</v>
      </c>
      <c r="Y28" s="333">
        <f t="shared" si="11"/>
        <v>0</v>
      </c>
    </row>
    <row r="29" spans="1:27" s="255" customFormat="1" ht="15.75" thickBot="1" x14ac:dyDescent="0.3">
      <c r="A29" s="425" t="s">
        <v>91</v>
      </c>
      <c r="B29" s="426"/>
      <c r="C29" s="426"/>
      <c r="D29" s="426"/>
      <c r="E29" s="426"/>
      <c r="F29" s="426"/>
      <c r="G29" s="426"/>
      <c r="H29" s="426"/>
      <c r="I29" s="502"/>
      <c r="J29" s="502"/>
      <c r="K29" s="502"/>
      <c r="L29" s="502"/>
      <c r="M29" s="502"/>
      <c r="N29" s="502"/>
      <c r="O29" s="502"/>
      <c r="P29" s="502"/>
      <c r="Q29" s="502"/>
      <c r="R29" s="503"/>
      <c r="S29" s="124"/>
      <c r="T29" s="124"/>
      <c r="U29" s="124"/>
      <c r="V29" s="124"/>
      <c r="W29" s="124"/>
      <c r="X29" s="124"/>
      <c r="Y29" s="124"/>
    </row>
    <row r="30" spans="1:27" s="255" customFormat="1" ht="30.75" customHeight="1" x14ac:dyDescent="0.25">
      <c r="A30" s="51">
        <v>1</v>
      </c>
      <c r="B30" s="43" t="s">
        <v>62</v>
      </c>
      <c r="C30" s="14" t="s">
        <v>7</v>
      </c>
      <c r="D30" s="14" t="s">
        <v>47</v>
      </c>
      <c r="E30" s="15" t="s">
        <v>8</v>
      </c>
      <c r="F30" s="11">
        <v>12999660</v>
      </c>
      <c r="G30" s="12">
        <v>11049711</v>
      </c>
      <c r="H30" s="59">
        <v>1949949</v>
      </c>
      <c r="I30" s="194">
        <v>614052</v>
      </c>
      <c r="J30" s="57">
        <v>795786</v>
      </c>
      <c r="K30" s="195">
        <v>540111</v>
      </c>
      <c r="L30" s="195">
        <v>0</v>
      </c>
      <c r="M30" s="344">
        <v>0</v>
      </c>
      <c r="N30" s="345">
        <v>0</v>
      </c>
      <c r="O30" s="194">
        <v>0</v>
      </c>
      <c r="P30" s="57">
        <v>0</v>
      </c>
      <c r="Q30" s="195">
        <v>0</v>
      </c>
      <c r="R30" s="195">
        <v>0</v>
      </c>
      <c r="S30" s="195">
        <v>0</v>
      </c>
      <c r="T30" s="197">
        <v>0</v>
      </c>
      <c r="U30" s="194">
        <v>0</v>
      </c>
      <c r="V30" s="195">
        <v>0</v>
      </c>
      <c r="W30" s="196">
        <v>0</v>
      </c>
      <c r="X30" s="197">
        <v>0</v>
      </c>
      <c r="Y30" s="319">
        <v>0</v>
      </c>
    </row>
    <row r="31" spans="1:27" s="255" customFormat="1" ht="60" x14ac:dyDescent="0.25">
      <c r="A31" s="51">
        <v>2</v>
      </c>
      <c r="B31" s="43" t="s">
        <v>58</v>
      </c>
      <c r="C31" s="14" t="s">
        <v>7</v>
      </c>
      <c r="D31" s="14" t="s">
        <v>41</v>
      </c>
      <c r="E31" s="15" t="s">
        <v>59</v>
      </c>
      <c r="F31" s="11">
        <v>4185000</v>
      </c>
      <c r="G31" s="12">
        <v>3766500</v>
      </c>
      <c r="H31" s="59">
        <v>418500</v>
      </c>
      <c r="I31" s="11">
        <v>78300</v>
      </c>
      <c r="J31" s="136">
        <v>78300</v>
      </c>
      <c r="K31" s="12">
        <v>78300</v>
      </c>
      <c r="L31" s="12">
        <v>183600</v>
      </c>
      <c r="M31" s="134">
        <v>0</v>
      </c>
      <c r="N31" s="137">
        <v>0</v>
      </c>
      <c r="O31" s="11">
        <v>704700</v>
      </c>
      <c r="P31" s="136">
        <v>704700</v>
      </c>
      <c r="Q31" s="12">
        <v>704700</v>
      </c>
      <c r="R31" s="12">
        <v>1652400</v>
      </c>
      <c r="S31" s="12">
        <v>0</v>
      </c>
      <c r="T31" s="13">
        <v>0</v>
      </c>
      <c r="U31" s="11">
        <f>O31</f>
        <v>704700</v>
      </c>
      <c r="V31" s="12">
        <f>P31</f>
        <v>704700</v>
      </c>
      <c r="W31" s="59">
        <f>Q31+R31</f>
        <v>2357100</v>
      </c>
      <c r="X31" s="13">
        <v>0</v>
      </c>
      <c r="Y31" s="232">
        <v>0</v>
      </c>
    </row>
    <row r="32" spans="1:27" ht="45.75" thickBot="1" x14ac:dyDescent="0.3">
      <c r="A32" s="368">
        <v>3</v>
      </c>
      <c r="B32" s="44" t="s">
        <v>55</v>
      </c>
      <c r="C32" s="17" t="s">
        <v>7</v>
      </c>
      <c r="D32" s="17" t="s">
        <v>56</v>
      </c>
      <c r="E32" s="18" t="s">
        <v>60</v>
      </c>
      <c r="F32" s="369">
        <v>4824000</v>
      </c>
      <c r="G32" s="370">
        <v>4824000</v>
      </c>
      <c r="H32" s="371">
        <v>0</v>
      </c>
      <c r="I32" s="219">
        <v>0</v>
      </c>
      <c r="J32" s="184">
        <v>0</v>
      </c>
      <c r="K32" s="220">
        <v>0</v>
      </c>
      <c r="L32" s="220">
        <v>0</v>
      </c>
      <c r="M32" s="220">
        <v>0</v>
      </c>
      <c r="N32" s="365">
        <v>0</v>
      </c>
      <c r="O32" s="219">
        <v>2412000</v>
      </c>
      <c r="P32" s="184">
        <v>2412000</v>
      </c>
      <c r="Q32" s="220">
        <v>0</v>
      </c>
      <c r="R32" s="220">
        <v>0</v>
      </c>
      <c r="S32" s="118">
        <v>0</v>
      </c>
      <c r="T32" s="366">
        <v>0</v>
      </c>
      <c r="U32" s="233">
        <f>O32</f>
        <v>2412000</v>
      </c>
      <c r="V32" s="60">
        <f>P32</f>
        <v>2412000</v>
      </c>
      <c r="W32" s="372">
        <v>0</v>
      </c>
      <c r="X32" s="373">
        <v>0</v>
      </c>
      <c r="Y32" s="367">
        <v>0</v>
      </c>
    </row>
    <row r="33" spans="1:25" s="381" customFormat="1" ht="15.75" thickBot="1" x14ac:dyDescent="0.3">
      <c r="A33" s="498" t="s">
        <v>16</v>
      </c>
      <c r="B33" s="499"/>
      <c r="C33" s="499"/>
      <c r="D33" s="499"/>
      <c r="E33" s="499"/>
      <c r="F33" s="316">
        <f>SUM(F30:F32)</f>
        <v>22008660</v>
      </c>
      <c r="G33" s="374">
        <f t="shared" ref="G33:T33" si="12">SUM(G30:G32)</f>
        <v>19640211</v>
      </c>
      <c r="H33" s="375">
        <f>SUM(H30:H32)</f>
        <v>2368449</v>
      </c>
      <c r="I33" s="329">
        <f t="shared" si="12"/>
        <v>692352</v>
      </c>
      <c r="J33" s="376">
        <f t="shared" si="12"/>
        <v>874086</v>
      </c>
      <c r="K33" s="377">
        <f t="shared" si="12"/>
        <v>618411</v>
      </c>
      <c r="L33" s="378">
        <f t="shared" si="12"/>
        <v>183600</v>
      </c>
      <c r="M33" s="378">
        <f t="shared" si="12"/>
        <v>0</v>
      </c>
      <c r="N33" s="378">
        <f t="shared" si="12"/>
        <v>0</v>
      </c>
      <c r="O33" s="329">
        <f t="shared" si="12"/>
        <v>3116700</v>
      </c>
      <c r="P33" s="376">
        <f t="shared" si="12"/>
        <v>3116700</v>
      </c>
      <c r="Q33" s="377">
        <f t="shared" si="12"/>
        <v>704700</v>
      </c>
      <c r="R33" s="379">
        <f t="shared" si="12"/>
        <v>1652400</v>
      </c>
      <c r="S33" s="379">
        <f t="shared" si="12"/>
        <v>0</v>
      </c>
      <c r="T33" s="379">
        <f t="shared" si="12"/>
        <v>0</v>
      </c>
      <c r="U33" s="374">
        <f t="shared" ref="U33:Y33" si="13">SUM(U30:U32)</f>
        <v>3116700</v>
      </c>
      <c r="V33" s="374">
        <f t="shared" si="13"/>
        <v>3116700</v>
      </c>
      <c r="W33" s="380">
        <f t="shared" si="13"/>
        <v>2357100</v>
      </c>
      <c r="X33" s="380">
        <f t="shared" si="13"/>
        <v>0</v>
      </c>
      <c r="Y33" s="380">
        <f t="shared" si="13"/>
        <v>0</v>
      </c>
    </row>
    <row r="34" spans="1:25" s="381" customFormat="1" x14ac:dyDescent="0.25">
      <c r="A34" s="312"/>
      <c r="B34" s="312"/>
      <c r="C34" s="312"/>
      <c r="D34" s="312"/>
      <c r="E34" s="312"/>
      <c r="F34" s="382"/>
      <c r="G34" s="382"/>
      <c r="H34" s="382"/>
      <c r="I34" s="382"/>
      <c r="J34" s="383"/>
      <c r="K34" s="382"/>
      <c r="L34" s="382"/>
      <c r="M34" s="382"/>
      <c r="N34" s="382"/>
      <c r="O34" s="382"/>
      <c r="P34" s="383"/>
      <c r="Q34" s="382"/>
      <c r="R34" s="382"/>
      <c r="S34" s="382"/>
      <c r="T34" s="382"/>
      <c r="U34" s="382"/>
      <c r="V34" s="382"/>
      <c r="W34" s="382"/>
      <c r="X34" s="382"/>
      <c r="Y34" s="382"/>
    </row>
    <row r="35" spans="1:25" ht="15.75" thickBot="1" x14ac:dyDescent="0.3">
      <c r="F35" s="384"/>
    </row>
    <row r="36" spans="1:25" s="388" customFormat="1" ht="20.25" customHeight="1" thickBot="1" x14ac:dyDescent="0.3">
      <c r="A36" s="496" t="s">
        <v>92</v>
      </c>
      <c r="B36" s="497"/>
      <c r="C36" s="497"/>
      <c r="D36" s="497"/>
      <c r="E36" s="497"/>
      <c r="F36" s="385">
        <f>F33+F28+F19+F16+F8</f>
        <v>693361087.83999991</v>
      </c>
      <c r="G36" s="385">
        <f>G8+G16+G19+G28+G33</f>
        <v>608754148.86000001</v>
      </c>
      <c r="H36" s="386">
        <f>H8+H16+H19+H28+H33</f>
        <v>82307938.980000004</v>
      </c>
      <c r="I36" s="385">
        <f t="shared" ref="I36:Y36" si="14">I8+I16+I19+I28+I33</f>
        <v>5809737.5666666664</v>
      </c>
      <c r="J36" s="385">
        <f t="shared" si="14"/>
        <v>67612119.516666666</v>
      </c>
      <c r="K36" s="385">
        <f t="shared" si="14"/>
        <v>6514674.2366666673</v>
      </c>
      <c r="L36" s="385">
        <f t="shared" si="14"/>
        <v>2049384.0599999987</v>
      </c>
      <c r="M36" s="385">
        <f t="shared" si="14"/>
        <v>322023.59999999998</v>
      </c>
      <c r="N36" s="385">
        <f t="shared" si="14"/>
        <v>0</v>
      </c>
      <c r="O36" s="385">
        <f t="shared" si="14"/>
        <v>3920400</v>
      </c>
      <c r="P36" s="385">
        <f t="shared" si="14"/>
        <v>29981866</v>
      </c>
      <c r="Q36" s="385">
        <f t="shared" si="14"/>
        <v>3082050</v>
      </c>
      <c r="R36" s="385">
        <f t="shared" si="14"/>
        <v>4029750</v>
      </c>
      <c r="S36" s="385">
        <f t="shared" si="14"/>
        <v>0</v>
      </c>
      <c r="T36" s="385">
        <f t="shared" si="14"/>
        <v>0</v>
      </c>
      <c r="U36" s="385">
        <f t="shared" si="14"/>
        <v>29613662.399999999</v>
      </c>
      <c r="V36" s="385">
        <f t="shared" si="14"/>
        <v>5494050</v>
      </c>
      <c r="W36" s="385">
        <f t="shared" si="14"/>
        <v>4734450</v>
      </c>
      <c r="X36" s="387">
        <f t="shared" si="14"/>
        <v>0</v>
      </c>
      <c r="Y36" s="385">
        <f t="shared" si="14"/>
        <v>0</v>
      </c>
    </row>
    <row r="38" spans="1:25" x14ac:dyDescent="0.25">
      <c r="F38" s="384"/>
    </row>
    <row r="39" spans="1:25" x14ac:dyDescent="0.25">
      <c r="K39" s="384"/>
      <c r="P39" s="389"/>
      <c r="U39" s="390"/>
    </row>
    <row r="41" spans="1:25" x14ac:dyDescent="0.25">
      <c r="E41" s="391"/>
    </row>
    <row r="45" spans="1:25" x14ac:dyDescent="0.25">
      <c r="H45" s="392"/>
    </row>
  </sheetData>
  <sheetProtection formatCells="0" formatColumns="0" formatRows="0" insertColumns="0" insertRows="0" insertHyperlinks="0" deleteColumns="0" deleteRows="0"/>
  <mergeCells count="23">
    <mergeCell ref="A17:X17"/>
    <mergeCell ref="A36:E36"/>
    <mergeCell ref="A33:E33"/>
    <mergeCell ref="A4:A5"/>
    <mergeCell ref="B4:B5"/>
    <mergeCell ref="C4:C5"/>
    <mergeCell ref="D4:D5"/>
    <mergeCell ref="E4:E5"/>
    <mergeCell ref="A16:E16"/>
    <mergeCell ref="A20:R20"/>
    <mergeCell ref="A6:Y6"/>
    <mergeCell ref="A8:E8"/>
    <mergeCell ref="A29:R29"/>
    <mergeCell ref="A28:E28"/>
    <mergeCell ref="U4:Y4"/>
    <mergeCell ref="A19:E19"/>
    <mergeCell ref="A9:Y9"/>
    <mergeCell ref="O4:T4"/>
    <mergeCell ref="B1:R1"/>
    <mergeCell ref="I4:L4"/>
    <mergeCell ref="F4:F5"/>
    <mergeCell ref="G4:G5"/>
    <mergeCell ref="H4:H5"/>
  </mergeCells>
  <pageMargins left="0.35433070866141736" right="0.23622047244094491" top="0.59055118110236227" bottom="0.59055118110236227" header="0.31496062992125984" footer="0.31496062992125984"/>
  <pageSetup paperSize="8" scale="57" firstPageNumber="3" fitToHeight="0" orientation="landscape" r:id="rId1"/>
  <headerFooter>
    <oddFooter>&amp;L&amp;"Arial,Obyčejné"&amp;10Zastupitelstvo Olomouckého kraje 27. 2. 2017 
43. - Rozpočet Olomouckého kraje 2017 – nové investice
Příloha č. 1: Projekty Olomouckého kraje spolufinancované z evropských fondů &amp;R&amp;"Arial,Obyčejné"&amp;10Strana &amp;P (celkem 45)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Souhrn</vt:lpstr>
      <vt:lpstr>Připravované</vt:lpstr>
      <vt:lpstr>Podané</vt:lpstr>
      <vt:lpstr>Realizované</vt:lpstr>
      <vt:lpstr>Podané!Názvy_tisku</vt:lpstr>
      <vt:lpstr>Připravované!Názvy_tisku</vt:lpstr>
      <vt:lpstr>Realizované!Názvy_tisku</vt:lpstr>
      <vt:lpstr>Podané!Oblast_tisku</vt:lpstr>
      <vt:lpstr>Připravované!Oblast_tisku</vt:lpstr>
      <vt:lpstr>Realizované!Oblast_tisku</vt:lpstr>
      <vt:lpstr>Souhrn!Oblast_tisku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Poles Pavel</dc:creator>
  <cp:lastModifiedBy>Kypusová Marta</cp:lastModifiedBy>
  <cp:lastPrinted>2017-02-10T09:21:19Z</cp:lastPrinted>
  <dcterms:created xsi:type="dcterms:W3CDTF">2016-06-02T11:02:15Z</dcterms:created>
  <dcterms:modified xsi:type="dcterms:W3CDTF">2017-02-13T12:03:46Z</dcterms:modified>
</cp:coreProperties>
</file>