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tový výhled\Rozpočtový výhled 2018-2019\27.2.2017\"/>
    </mc:Choice>
  </mc:AlternateContent>
  <bookViews>
    <workbookView xWindow="0" yWindow="120" windowWidth="15480" windowHeight="11580"/>
  </bookViews>
  <sheets>
    <sheet name="Příloha č. 1" sheetId="1" r:id="rId1"/>
  </sheets>
  <definedNames>
    <definedName name="_xlnm.Print_Area" localSheetId="0">'Příloha č. 1'!$A$1:$H$111</definedName>
  </definedNames>
  <calcPr calcId="162913"/>
</workbook>
</file>

<file path=xl/calcChain.xml><?xml version="1.0" encoding="utf-8"?>
<calcChain xmlns="http://schemas.openxmlformats.org/spreadsheetml/2006/main">
  <c r="D55" i="1" l="1"/>
  <c r="F84" i="1"/>
  <c r="H84" i="1"/>
  <c r="D41" i="1" l="1"/>
  <c r="D45" i="1" l="1"/>
  <c r="E41" i="1"/>
  <c r="D46" i="1"/>
  <c r="D20" i="1"/>
  <c r="D13" i="1" l="1"/>
  <c r="C13" i="1"/>
  <c r="D61" i="1" l="1"/>
  <c r="D60" i="1" l="1"/>
  <c r="E60" i="1" l="1"/>
  <c r="C93" i="1" l="1"/>
  <c r="C65" i="1"/>
  <c r="C64" i="1"/>
  <c r="C46" i="1"/>
  <c r="C41" i="1"/>
  <c r="C60" i="1" l="1"/>
  <c r="G45" i="1" l="1"/>
  <c r="G42" i="1"/>
  <c r="E59" i="1"/>
  <c r="E56" i="1"/>
  <c r="G56" i="1" s="1"/>
  <c r="E55" i="1"/>
  <c r="G55" i="1" s="1"/>
  <c r="E54" i="1"/>
  <c r="G54" i="1" s="1"/>
  <c r="E53" i="1"/>
  <c r="G53" i="1" s="1"/>
  <c r="E52" i="1"/>
  <c r="G41" i="1"/>
  <c r="G52" i="1" l="1"/>
  <c r="G51" i="1" s="1"/>
  <c r="E51" i="1"/>
  <c r="F61" i="1"/>
  <c r="E8" i="1"/>
  <c r="E9" i="1"/>
  <c r="E13" i="1"/>
  <c r="E12" i="1"/>
  <c r="G8" i="1" l="1"/>
  <c r="F8" i="1"/>
  <c r="E7" i="1"/>
  <c r="C40" i="1"/>
  <c r="G7" i="1" l="1"/>
  <c r="H8" i="1"/>
  <c r="D95" i="1"/>
  <c r="F48" i="1" l="1"/>
  <c r="F49" i="1"/>
  <c r="F47" i="1"/>
  <c r="H9" i="1"/>
  <c r="H61" i="1"/>
  <c r="H19" i="1"/>
  <c r="F19" i="1"/>
  <c r="E93" i="1"/>
  <c r="F53" i="1"/>
  <c r="F54" i="1"/>
  <c r="F52" i="1"/>
  <c r="J8" i="1" l="1"/>
  <c r="G95" i="1" l="1"/>
  <c r="E95" i="1"/>
  <c r="G46" i="1"/>
  <c r="G40" i="1" s="1"/>
  <c r="E46" i="1"/>
  <c r="E91" i="1" l="1"/>
  <c r="H56" i="1"/>
  <c r="H54" i="1"/>
  <c r="F55" i="1" l="1"/>
  <c r="F56" i="1"/>
  <c r="H32" i="1"/>
  <c r="F32" i="1"/>
  <c r="H15" i="1"/>
  <c r="F14" i="1"/>
  <c r="F15" i="1"/>
  <c r="F16" i="1"/>
  <c r="H16" i="1"/>
  <c r="G13" i="1"/>
  <c r="H13" i="1" s="1"/>
  <c r="E17" i="1"/>
  <c r="E18" i="1"/>
  <c r="F18" i="1" s="1"/>
  <c r="G12" i="1"/>
  <c r="G17" i="1" l="1"/>
  <c r="H17" i="1" s="1"/>
  <c r="E10" i="1"/>
  <c r="H55" i="1"/>
  <c r="F17" i="1"/>
  <c r="F13" i="1"/>
  <c r="G18" i="1"/>
  <c r="H18" i="1" s="1"/>
  <c r="H14" i="1"/>
  <c r="D93" i="1"/>
  <c r="C51" i="1"/>
  <c r="D10" i="1"/>
  <c r="D7" i="1"/>
  <c r="J62" i="1"/>
  <c r="C7" i="1"/>
  <c r="D24" i="1" l="1"/>
  <c r="D33" i="1" s="1"/>
  <c r="D88" i="1" s="1"/>
  <c r="D112" i="1" s="1"/>
  <c r="D91" i="1"/>
  <c r="F91" i="1" s="1"/>
  <c r="F46" i="1"/>
  <c r="D40" i="1"/>
  <c r="D51" i="1"/>
  <c r="C95" i="1"/>
  <c r="C91" i="1" s="1"/>
  <c r="C76" i="1"/>
  <c r="C85" i="1" s="1"/>
  <c r="C90" i="1" s="1"/>
  <c r="C20" i="1"/>
  <c r="C10" i="1"/>
  <c r="D76" i="1" l="1"/>
  <c r="C24" i="1"/>
  <c r="D85" i="1" l="1"/>
  <c r="D90" i="1" s="1"/>
  <c r="D116" i="1" s="1"/>
  <c r="C33" i="1"/>
  <c r="C88" i="1" s="1"/>
  <c r="C116" i="1" s="1"/>
  <c r="G93" i="1"/>
  <c r="D113" i="1" l="1"/>
  <c r="D115" i="1" s="1"/>
  <c r="F92" i="1"/>
  <c r="H111" i="1"/>
  <c r="H97" i="1"/>
  <c r="H96" i="1"/>
  <c r="F111" i="1"/>
  <c r="F100" i="1"/>
  <c r="F101" i="1"/>
  <c r="F102" i="1"/>
  <c r="F103" i="1"/>
  <c r="F104" i="1"/>
  <c r="F105" i="1"/>
  <c r="F106" i="1"/>
  <c r="F107" i="1"/>
  <c r="F108" i="1"/>
  <c r="F109" i="1"/>
  <c r="F110" i="1"/>
  <c r="F97" i="1"/>
  <c r="F96" i="1"/>
  <c r="F95" i="1"/>
  <c r="F41" i="1" l="1"/>
  <c r="H42" i="1"/>
  <c r="E44" i="1"/>
  <c r="G44" i="1" s="1"/>
  <c r="E43" i="1"/>
  <c r="E40" i="1" s="1"/>
  <c r="F45" i="1"/>
  <c r="F51" i="1"/>
  <c r="H66" i="1"/>
  <c r="F66" i="1"/>
  <c r="F57" i="1"/>
  <c r="F59" i="1"/>
  <c r="E58" i="1"/>
  <c r="G58" i="1" s="1"/>
  <c r="H58" i="1" s="1"/>
  <c r="E20" i="1"/>
  <c r="F20" i="1" l="1"/>
  <c r="G43" i="1"/>
  <c r="F40" i="1"/>
  <c r="F43" i="1"/>
  <c r="F44" i="1"/>
  <c r="F42" i="1"/>
  <c r="F58" i="1"/>
  <c r="H41" i="1"/>
  <c r="G11" i="1"/>
  <c r="G10" i="1" s="1"/>
  <c r="F11" i="1"/>
  <c r="F21" i="1"/>
  <c r="F9" i="1"/>
  <c r="F7" i="1"/>
  <c r="F12" i="1"/>
  <c r="G21" i="1"/>
  <c r="H21" i="1" s="1"/>
  <c r="H49" i="1"/>
  <c r="H48" i="1"/>
  <c r="H47" i="1"/>
  <c r="E24" i="1" l="1"/>
  <c r="E33" i="1" s="1"/>
  <c r="E112" i="1" s="1"/>
  <c r="H11" i="1"/>
  <c r="H10" i="1"/>
  <c r="H52" i="1"/>
  <c r="H51" i="1"/>
  <c r="H7" i="1"/>
  <c r="G60" i="1" l="1"/>
  <c r="G59" i="1"/>
  <c r="H59" i="1" s="1"/>
  <c r="H100" i="1"/>
  <c r="H103" i="1"/>
  <c r="H105" i="1"/>
  <c r="H106" i="1"/>
  <c r="H108" i="1"/>
  <c r="H109" i="1"/>
  <c r="H95" i="1"/>
  <c r="G76" i="1" l="1"/>
  <c r="H60" i="1"/>
  <c r="H46" i="1"/>
  <c r="H12" i="1"/>
  <c r="H45" i="1" l="1"/>
  <c r="H44" i="1"/>
  <c r="H43" i="1" l="1"/>
  <c r="F77" i="1" l="1"/>
  <c r="F74" i="1"/>
  <c r="C112" i="1"/>
  <c r="H73" i="1"/>
  <c r="F73" i="1"/>
  <c r="H27" i="1"/>
  <c r="H29" i="1"/>
  <c r="H30" i="1"/>
  <c r="H79" i="1"/>
  <c r="H81" i="1"/>
  <c r="H82" i="1"/>
  <c r="G79" i="1"/>
  <c r="G82" i="1"/>
  <c r="G27" i="1"/>
  <c r="G30" i="1"/>
  <c r="F82" i="1"/>
  <c r="G29" i="1"/>
  <c r="E79" i="1"/>
  <c r="E81" i="1"/>
  <c r="F81" i="1"/>
  <c r="G81" i="1"/>
  <c r="E82" i="1"/>
  <c r="F29" i="1"/>
  <c r="F30" i="1"/>
  <c r="E25" i="1"/>
  <c r="E27" i="1"/>
  <c r="E29" i="1"/>
  <c r="E30" i="1"/>
  <c r="C30" i="1"/>
  <c r="H104" i="1"/>
  <c r="H110" i="1"/>
  <c r="H101" i="1"/>
  <c r="C82" i="1"/>
  <c r="C77" i="1"/>
  <c r="C78" i="1" s="1"/>
  <c r="C80" i="1" s="1"/>
  <c r="C83" i="1" s="1"/>
  <c r="C79" i="1"/>
  <c r="C81" i="1"/>
  <c r="C25" i="1"/>
  <c r="C26" i="1" s="1"/>
  <c r="C28" i="1" s="1"/>
  <c r="C31" i="1" s="1"/>
  <c r="C27" i="1"/>
  <c r="C29" i="1"/>
  <c r="F79" i="1"/>
  <c r="G77" i="1"/>
  <c r="H102" i="1" l="1"/>
  <c r="E77" i="1"/>
  <c r="H107" i="1"/>
  <c r="F25" i="1"/>
  <c r="H77" i="1"/>
  <c r="F10" i="1" l="1"/>
  <c r="C113" i="1"/>
  <c r="H40" i="1"/>
  <c r="G20" i="1"/>
  <c r="H20" i="1" s="1"/>
  <c r="H53" i="1"/>
  <c r="F24" i="1" l="1"/>
  <c r="F26" i="1" s="1"/>
  <c r="F28" i="1" s="1"/>
  <c r="F31" i="1" s="1"/>
  <c r="G24" i="1"/>
  <c r="G33" i="1" s="1"/>
  <c r="E26" i="1"/>
  <c r="E28" i="1" s="1"/>
  <c r="E31" i="1" s="1"/>
  <c r="F98" i="1"/>
  <c r="G88" i="1" l="1"/>
  <c r="G112" i="1"/>
  <c r="H33" i="1"/>
  <c r="E88" i="1"/>
  <c r="F33" i="1"/>
  <c r="H24" i="1"/>
  <c r="G85" i="1"/>
  <c r="G113" i="1" l="1"/>
  <c r="G90" i="1"/>
  <c r="G116" i="1" s="1"/>
  <c r="H88" i="1"/>
  <c r="F88" i="1"/>
  <c r="G78" i="1"/>
  <c r="G80" i="1" s="1"/>
  <c r="G83" i="1" s="1"/>
  <c r="G89" i="1"/>
  <c r="H99" i="1"/>
  <c r="E76" i="1" l="1"/>
  <c r="E85" i="1" s="1"/>
  <c r="F60" i="1"/>
  <c r="F76" i="1" l="1"/>
  <c r="F78" i="1" s="1"/>
  <c r="F80" i="1" s="1"/>
  <c r="F83" i="1" s="1"/>
  <c r="H76" i="1"/>
  <c r="H78" i="1" s="1"/>
  <c r="H80" i="1" s="1"/>
  <c r="H83" i="1" s="1"/>
  <c r="E90" i="1"/>
  <c r="F99" i="1"/>
  <c r="E89" i="1"/>
  <c r="F89" i="1" s="1"/>
  <c r="E78" i="1"/>
  <c r="E80" i="1" s="1"/>
  <c r="E83" i="1" s="1"/>
  <c r="G91" i="1"/>
  <c r="H91" i="1" s="1"/>
  <c r="G25" i="1"/>
  <c r="G26" i="1" s="1"/>
  <c r="G28" i="1" s="1"/>
  <c r="G31" i="1" s="1"/>
  <c r="G115" i="1"/>
  <c r="H25" i="1"/>
  <c r="H26" i="1" s="1"/>
  <c r="H28" i="1" s="1"/>
  <c r="H31" i="1" s="1"/>
  <c r="H98" i="1"/>
  <c r="E116" i="1" l="1"/>
  <c r="H90" i="1"/>
  <c r="F90" i="1"/>
  <c r="E113" i="1"/>
  <c r="E115" i="1" s="1"/>
  <c r="H85" i="1"/>
  <c r="F85" i="1"/>
  <c r="H89" i="1"/>
</calcChain>
</file>

<file path=xl/comments1.xml><?xml version="1.0" encoding="utf-8"?>
<comments xmlns="http://schemas.openxmlformats.org/spreadsheetml/2006/main">
  <authors>
    <author>Ing. Pavel Poles</author>
  </authors>
  <commentList>
    <comment ref="E60" authorId="0" shapeId="0">
      <text>
        <r>
          <rPr>
            <b/>
            <sz val="8"/>
            <color indexed="81"/>
            <rFont val="Tahoma"/>
            <family val="2"/>
            <charset val="238"/>
          </rPr>
          <t>Ing. Pavel Poles:</t>
        </r>
        <r>
          <rPr>
            <sz val="8"/>
            <color indexed="81"/>
            <rFont val="Tahoma"/>
            <family val="2"/>
            <charset val="238"/>
          </rPr>
          <t xml:space="preserve">
za OPŘ:
- roj.příprava+předfinancování z rozpočtu OK+ průtok financování soc. služeb
- zreálnění financování z EIB
p</t>
        </r>
      </text>
    </comment>
    <comment ref="G60" authorId="0" shapeId="0">
      <text>
        <r>
          <rPr>
            <b/>
            <sz val="8"/>
            <color indexed="81"/>
            <rFont val="Tahoma"/>
            <family val="2"/>
            <charset val="238"/>
          </rPr>
          <t>Ing. Pavel Poles:</t>
        </r>
        <r>
          <rPr>
            <sz val="8"/>
            <color indexed="81"/>
            <rFont val="Tahoma"/>
            <family val="2"/>
            <charset val="238"/>
          </rPr>
          <t xml:space="preserve">
- proj.příprava+průtok financování soc. služeb projektu
- odhad financování připravovaných projektů z EIB</t>
        </r>
      </text>
    </comment>
  </commentList>
</comments>
</file>

<file path=xl/sharedStrings.xml><?xml version="1.0" encoding="utf-8"?>
<sst xmlns="http://schemas.openxmlformats.org/spreadsheetml/2006/main" count="86" uniqueCount="78">
  <si>
    <t>Rozpočtový výhled</t>
  </si>
  <si>
    <t>DAŇOVÉ PŘÍJMY</t>
  </si>
  <si>
    <t>NEDAŇOVÉ PŘÍJMY</t>
  </si>
  <si>
    <t>KAPITÁLOVÉ PŘÍJMY</t>
  </si>
  <si>
    <t>DOTACE   CELKEM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</si>
  <si>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</si>
  <si>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</si>
  <si>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</si>
  <si>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</si>
  <si>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</si>
  <si>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</si>
  <si>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</si>
  <si>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</si>
  <si>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</si>
  <si>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</si>
  <si>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</si>
  <si>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</si>
  <si>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</si>
  <si>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</si>
  <si>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</si>
  <si>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</si>
  <si>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</si>
  <si>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</si>
  <si>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</si>
  <si>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</si>
  <si>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</si>
  <si>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</si>
  <si>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</si>
  <si>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</si>
  <si>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přijatý úvěr  (+)</t>
  </si>
  <si>
    <t>Financování - zapojení nevyužitých prostředků předcházejícího roku (přebytek)</t>
  </si>
  <si>
    <t xml:space="preserve">          oblast zdravotnictví (NOK, a.s.)</t>
  </si>
  <si>
    <t xml:space="preserve">         splátky půjček a ostatní nedaňové příjmy</t>
  </si>
  <si>
    <t>z toho: autobusová doprava</t>
  </si>
  <si>
    <t xml:space="preserve">           drážní doprava</t>
  </si>
  <si>
    <t>Číslo řádku</t>
  </si>
  <si>
    <t xml:space="preserve">          z toho: PPP - Dub nad Moravou </t>
  </si>
  <si>
    <t xml:space="preserve">          Komerční banka (investice) - úroky</t>
  </si>
  <si>
    <t>v tis.Kč</t>
  </si>
  <si>
    <t xml:space="preserve">           EIB  - úroky</t>
  </si>
  <si>
    <t xml:space="preserve">Financování - splátky úvěru  (-) </t>
  </si>
  <si>
    <t xml:space="preserve">          EIB  - jistina</t>
  </si>
  <si>
    <t xml:space="preserve">Odbory (kanceláře) - provozní výdaje a dotační tituly </t>
  </si>
  <si>
    <t>z toho: EIB (Modernizace silniční sítě) - iistina</t>
  </si>
  <si>
    <t>a) provozní výdaje odborů</t>
  </si>
  <si>
    <t>b) dotační tituly</t>
  </si>
  <si>
    <t xml:space="preserve">e) úroky z úvěru </t>
  </si>
  <si>
    <t xml:space="preserve"> z toho: EIB (Modernizace silniční síte) - úroky</t>
  </si>
  <si>
    <t xml:space="preserve">          Komerční banka  - jistina</t>
  </si>
  <si>
    <t xml:space="preserve">a) příspěvek na provoz </t>
  </si>
  <si>
    <t>b) příspěve na provoz - mzdové náklady</t>
  </si>
  <si>
    <t>c) příspěvek na provoz - odpisy</t>
  </si>
  <si>
    <t>Evropské programy</t>
  </si>
  <si>
    <t>Investiční výdaje</t>
  </si>
  <si>
    <t xml:space="preserve">d) příspěvek na provoz - nájemné, ostatní </t>
  </si>
  <si>
    <t xml:space="preserve">         Česká spořitelna - revolving (předfinancování projektů)</t>
  </si>
  <si>
    <t>a) rozpracované investice</t>
  </si>
  <si>
    <t>b) alokace 5 - 12 - podíl Olomouckého kraje</t>
  </si>
  <si>
    <t xml:space="preserve">          ostatní nedaňové příjmy</t>
  </si>
  <si>
    <t xml:space="preserve">         sociální fond</t>
  </si>
  <si>
    <t>Konsolidace</t>
  </si>
  <si>
    <t>PŘÍJMY CELKEM (po konsolidaci)</t>
  </si>
  <si>
    <t>VÝDAJE CELKEM (po konsolidaci)</t>
  </si>
  <si>
    <t>e) dopravní obslužnost</t>
  </si>
  <si>
    <t xml:space="preserve">z toho:Česká spořitelna - revolvingový (předfinancování projektů) </t>
  </si>
  <si>
    <t>18/17 (%)</t>
  </si>
  <si>
    <t xml:space="preserve">c) nespecifikovaná rezerva </t>
  </si>
  <si>
    <t>1. Rozpočtový výhled Olomouckého kraje na období 2018 - 2019</t>
  </si>
  <si>
    <t>Schválený rozpočet 2016</t>
  </si>
  <si>
    <t>Návrh rozpočtu 2017</t>
  </si>
  <si>
    <t>b) projekty spolufinancované z evropských fondů</t>
  </si>
  <si>
    <t xml:space="preserve">c) nové investice - odbory </t>
  </si>
  <si>
    <t xml:space="preserve">e) oblast zdravotnictví - z nájemného </t>
  </si>
  <si>
    <t xml:space="preserve">d) nové investice </t>
  </si>
  <si>
    <t>f) rezerva na investiční akce</t>
  </si>
  <si>
    <t>neinvestičnípřijaté transfery od obcí</t>
  </si>
  <si>
    <t>ostatní investiční přijaté transfery ze státního rozpočtu</t>
  </si>
  <si>
    <t>19/18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</si>
</sst>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indexed="19"/>
      <name val="Arial"/>
      <family val="2"/>
      <charset val="238"/>
    </font>
    <font>
      <b/>
      <sz val="11.6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center"/>
    </xf>
    <xf numFmtId="3" fontId="3" fillId="0" borderId="0" xfId="0" applyNumberFormat="1" applyFont="1" applyFill="1"/>
    <xf numFmtId="0" fontId="8" fillId="0" borderId="0" xfId="0" applyFont="1" applyFill="1"/>
    <xf numFmtId="0" fontId="7" fillId="0" borderId="0" xfId="0" applyFont="1" applyFill="1"/>
    <xf numFmtId="3" fontId="2" fillId="0" borderId="0" xfId="0" applyNumberFormat="1" applyFont="1" applyFill="1" applyAlignment="1">
      <alignment horizontal="left"/>
    </xf>
    <xf numFmtId="3" fontId="14" fillId="2" borderId="0" xfId="0" applyNumberFormat="1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/>
    <xf numFmtId="0" fontId="16" fillId="2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right"/>
    </xf>
    <xf numFmtId="164" fontId="10" fillId="2" borderId="0" xfId="0" applyNumberFormat="1" applyFont="1" applyFill="1" applyBorder="1" applyAlignment="1">
      <alignment vertical="center"/>
    </xf>
    <xf numFmtId="164" fontId="16" fillId="2" borderId="0" xfId="0" applyNumberFormat="1" applyFont="1" applyFill="1" applyBorder="1" applyAlignment="1">
      <alignment vertical="center"/>
    </xf>
    <xf numFmtId="164" fontId="14" fillId="2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vertical="center"/>
    </xf>
    <xf numFmtId="0" fontId="18" fillId="0" borderId="0" xfId="0" applyFont="1" applyFill="1"/>
    <xf numFmtId="3" fontId="7" fillId="0" borderId="3" xfId="0" applyNumberFormat="1" applyFont="1" applyFill="1" applyBorder="1" applyAlignment="1"/>
    <xf numFmtId="164" fontId="7" fillId="0" borderId="2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/>
    <xf numFmtId="3" fontId="5" fillId="0" borderId="10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right" vertical="top"/>
    </xf>
    <xf numFmtId="0" fontId="14" fillId="0" borderId="0" xfId="0" applyFont="1" applyFill="1"/>
    <xf numFmtId="0" fontId="20" fillId="0" borderId="0" xfId="0" applyFont="1" applyFill="1"/>
    <xf numFmtId="0" fontId="6" fillId="4" borderId="0" xfId="0" applyFont="1" applyFill="1"/>
    <xf numFmtId="0" fontId="6" fillId="5" borderId="0" xfId="0" applyFont="1" applyFill="1"/>
    <xf numFmtId="164" fontId="21" fillId="3" borderId="11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/>
    <xf numFmtId="0" fontId="4" fillId="3" borderId="0" xfId="0" applyFont="1" applyFill="1" applyAlignment="1"/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3" fontId="22" fillId="0" borderId="4" xfId="0" applyNumberFormat="1" applyFont="1" applyFill="1" applyBorder="1" applyAlignment="1">
      <alignment vertical="center"/>
    </xf>
    <xf numFmtId="3" fontId="22" fillId="0" borderId="13" xfId="1" applyNumberFormat="1" applyFont="1" applyFill="1" applyBorder="1" applyAlignment="1">
      <alignment vertical="center"/>
    </xf>
    <xf numFmtId="3" fontId="22" fillId="0" borderId="14" xfId="1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horizontal="right" vertical="center"/>
    </xf>
    <xf numFmtId="0" fontId="23" fillId="0" borderId="0" xfId="0" applyFont="1" applyFill="1"/>
    <xf numFmtId="0" fontId="3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/>
    </xf>
    <xf numFmtId="3" fontId="7" fillId="0" borderId="22" xfId="1" applyNumberFormat="1" applyFont="1" applyFill="1" applyBorder="1" applyAlignment="1">
      <alignment vertical="center"/>
    </xf>
    <xf numFmtId="164" fontId="7" fillId="0" borderId="20" xfId="0" applyNumberFormat="1" applyFont="1" applyFill="1" applyBorder="1" applyAlignment="1">
      <alignment horizontal="right" vertical="center"/>
    </xf>
    <xf numFmtId="3" fontId="22" fillId="0" borderId="20" xfId="0" applyNumberFormat="1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0" fontId="3" fillId="0" borderId="0" xfId="0" applyFont="1" applyFill="1" applyAlignment="1"/>
    <xf numFmtId="0" fontId="24" fillId="0" borderId="1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/>
    </xf>
    <xf numFmtId="3" fontId="24" fillId="0" borderId="3" xfId="0" applyNumberFormat="1" applyFont="1" applyFill="1" applyBorder="1" applyAlignment="1">
      <alignment vertical="center"/>
    </xf>
    <xf numFmtId="164" fontId="24" fillId="0" borderId="2" xfId="0" applyNumberFormat="1" applyFont="1" applyFill="1" applyBorder="1" applyAlignment="1">
      <alignment horizontal="right" vertical="center"/>
    </xf>
    <xf numFmtId="0" fontId="5" fillId="6" borderId="12" xfId="0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>
      <alignment vertical="center"/>
    </xf>
    <xf numFmtId="164" fontId="5" fillId="6" borderId="2" xfId="0" applyNumberFormat="1" applyFont="1" applyFill="1" applyBorder="1"/>
    <xf numFmtId="3" fontId="5" fillId="6" borderId="3" xfId="0" applyNumberFormat="1" applyFont="1" applyFill="1" applyBorder="1"/>
    <xf numFmtId="164" fontId="17" fillId="6" borderId="20" xfId="0" applyNumberFormat="1" applyFont="1" applyFill="1" applyBorder="1" applyAlignment="1">
      <alignment horizontal="right" vertical="center" shrinkToFit="1"/>
    </xf>
    <xf numFmtId="3" fontId="7" fillId="0" borderId="3" xfId="0" applyNumberFormat="1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3" fontId="24" fillId="0" borderId="4" xfId="0" applyNumberFormat="1" applyFont="1" applyFill="1" applyBorder="1" applyAlignment="1">
      <alignment vertical="center"/>
    </xf>
    <xf numFmtId="0" fontId="24" fillId="6" borderId="17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right" vertical="center"/>
    </xf>
    <xf numFmtId="164" fontId="5" fillId="6" borderId="8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 shrinkToFit="1"/>
    </xf>
    <xf numFmtId="164" fontId="5" fillId="6" borderId="16" xfId="0" applyNumberFormat="1" applyFont="1" applyFill="1" applyBorder="1" applyAlignment="1">
      <alignment horizontal="right" vertical="center"/>
    </xf>
    <xf numFmtId="0" fontId="5" fillId="6" borderId="0" xfId="0" applyFont="1" applyFill="1"/>
    <xf numFmtId="0" fontId="24" fillId="6" borderId="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left" vertical="center" wrapText="1"/>
    </xf>
    <xf numFmtId="3" fontId="5" fillId="6" borderId="1" xfId="0" applyNumberFormat="1" applyFont="1" applyFill="1" applyBorder="1" applyAlignment="1"/>
    <xf numFmtId="0" fontId="5" fillId="6" borderId="20" xfId="0" applyFont="1" applyFill="1" applyBorder="1" applyAlignment="1">
      <alignment horizontal="left"/>
    </xf>
    <xf numFmtId="3" fontId="5" fillId="6" borderId="3" xfId="0" applyNumberFormat="1" applyFont="1" applyFill="1" applyBorder="1" applyAlignment="1"/>
    <xf numFmtId="164" fontId="5" fillId="6" borderId="2" xfId="0" applyNumberFormat="1" applyFont="1" applyFill="1" applyBorder="1" applyAlignment="1">
      <alignment horizontal="right"/>
    </xf>
    <xf numFmtId="0" fontId="5" fillId="6" borderId="0" xfId="0" applyFont="1" applyFill="1" applyAlignment="1"/>
    <xf numFmtId="0" fontId="5" fillId="6" borderId="21" xfId="0" applyFont="1" applyFill="1" applyBorder="1" applyAlignment="1">
      <alignment horizontal="left"/>
    </xf>
    <xf numFmtId="3" fontId="5" fillId="6" borderId="4" xfId="0" applyNumberFormat="1" applyFont="1" applyFill="1" applyBorder="1" applyAlignment="1"/>
    <xf numFmtId="0" fontId="5" fillId="7" borderId="18" xfId="0" applyFont="1" applyFill="1" applyBorder="1" applyAlignment="1">
      <alignment horizontal="left" vertical="center"/>
    </xf>
    <xf numFmtId="3" fontId="5" fillId="7" borderId="10" xfId="0" applyNumberFormat="1" applyFont="1" applyFill="1" applyBorder="1" applyAlignment="1">
      <alignment vertical="center"/>
    </xf>
    <xf numFmtId="3" fontId="25" fillId="0" borderId="0" xfId="0" applyNumberFormat="1" applyFont="1" applyFill="1"/>
    <xf numFmtId="164" fontId="25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6" fillId="0" borderId="0" xfId="0" applyFont="1" applyFill="1" applyAlignment="1"/>
    <xf numFmtId="0" fontId="26" fillId="0" borderId="0" xfId="0" applyFont="1" applyFill="1"/>
    <xf numFmtId="0" fontId="18" fillId="0" borderId="0" xfId="0" applyFont="1" applyFill="1" applyBorder="1"/>
    <xf numFmtId="3" fontId="18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6" fillId="4" borderId="0" xfId="0" applyFont="1" applyFill="1" applyBorder="1"/>
    <xf numFmtId="3" fontId="6" fillId="4" borderId="0" xfId="0" applyNumberFormat="1" applyFont="1" applyFill="1" applyBorder="1"/>
    <xf numFmtId="0" fontId="6" fillId="5" borderId="0" xfId="0" applyFont="1" applyFill="1" applyBorder="1"/>
    <xf numFmtId="3" fontId="6" fillId="5" borderId="0" xfId="0" applyNumberFormat="1" applyFont="1" applyFill="1" applyBorder="1"/>
    <xf numFmtId="3" fontId="27" fillId="0" borderId="0" xfId="0" applyNumberFormat="1" applyFont="1" applyFill="1" applyAlignment="1"/>
    <xf numFmtId="3" fontId="27" fillId="0" borderId="0" xfId="0" applyNumberFormat="1" applyFont="1" applyFill="1"/>
    <xf numFmtId="3" fontId="26" fillId="0" borderId="0" xfId="0" applyNumberFormat="1" applyFont="1" applyFill="1"/>
    <xf numFmtId="164" fontId="5" fillId="6" borderId="2" xfId="0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/>
    </xf>
    <xf numFmtId="3" fontId="5" fillId="0" borderId="36" xfId="0" applyNumberFormat="1" applyFont="1" applyFill="1" applyBorder="1" applyAlignment="1">
      <alignment vertical="center"/>
    </xf>
    <xf numFmtId="164" fontId="5" fillId="0" borderId="37" xfId="0" applyNumberFormat="1" applyFont="1" applyFill="1" applyBorder="1" applyAlignment="1">
      <alignment horizontal="right" vertical="top"/>
    </xf>
    <xf numFmtId="164" fontId="5" fillId="0" borderId="38" xfId="0" applyNumberFormat="1" applyFont="1" applyFill="1" applyBorder="1" applyAlignment="1">
      <alignment horizontal="right" vertical="top"/>
    </xf>
    <xf numFmtId="0" fontId="24" fillId="2" borderId="39" xfId="0" applyFont="1" applyFill="1" applyBorder="1" applyAlignment="1">
      <alignment horizontal="center" vertical="center"/>
    </xf>
    <xf numFmtId="164" fontId="5" fillId="3" borderId="40" xfId="0" applyNumberFormat="1" applyFont="1" applyFill="1" applyBorder="1" applyAlignment="1">
      <alignment horizontal="right" vertical="top"/>
    </xf>
    <xf numFmtId="164" fontId="5" fillId="0" borderId="40" xfId="0" applyNumberFormat="1" applyFont="1" applyFill="1" applyBorder="1" applyAlignment="1">
      <alignment vertical="center"/>
    </xf>
    <xf numFmtId="0" fontId="24" fillId="7" borderId="39" xfId="0" applyFont="1" applyFill="1" applyBorder="1" applyAlignment="1">
      <alignment horizontal="center" vertical="center"/>
    </xf>
    <xf numFmtId="0" fontId="24" fillId="6" borderId="41" xfId="0" applyFont="1" applyFill="1" applyBorder="1" applyAlignment="1">
      <alignment horizontal="center" vertical="center"/>
    </xf>
    <xf numFmtId="164" fontId="5" fillId="6" borderId="42" xfId="0" applyNumberFormat="1" applyFont="1" applyFill="1" applyBorder="1" applyAlignment="1">
      <alignment horizontal="right"/>
    </xf>
    <xf numFmtId="0" fontId="24" fillId="6" borderId="43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 vertical="center"/>
    </xf>
    <xf numFmtId="164" fontId="7" fillId="0" borderId="42" xfId="0" applyNumberFormat="1" applyFont="1" applyFill="1" applyBorder="1" applyAlignment="1">
      <alignment horizontal="right"/>
    </xf>
    <xf numFmtId="0" fontId="24" fillId="0" borderId="43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 vertical="center"/>
    </xf>
    <xf numFmtId="164" fontId="7" fillId="0" borderId="42" xfId="0" applyNumberFormat="1" applyFont="1" applyFill="1" applyBorder="1" applyAlignment="1">
      <alignment horizontal="right" vertical="center"/>
    </xf>
    <xf numFmtId="0" fontId="24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/>
    </xf>
    <xf numFmtId="3" fontId="7" fillId="0" borderId="46" xfId="0" applyNumberFormat="1" applyFont="1" applyFill="1" applyBorder="1" applyAlignment="1"/>
    <xf numFmtId="164" fontId="7" fillId="0" borderId="47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Alignment="1">
      <alignment horizontal="left"/>
    </xf>
    <xf numFmtId="3" fontId="28" fillId="6" borderId="50" xfId="0" applyNumberFormat="1" applyFont="1" applyFill="1" applyBorder="1" applyAlignment="1">
      <alignment horizontal="right" vertical="center"/>
    </xf>
    <xf numFmtId="3" fontId="28" fillId="6" borderId="12" xfId="0" applyNumberFormat="1" applyFont="1" applyFill="1" applyBorder="1" applyAlignment="1">
      <alignment horizontal="right" vertical="center"/>
    </xf>
    <xf numFmtId="3" fontId="28" fillId="6" borderId="3" xfId="0" applyNumberFormat="1" applyFont="1" applyFill="1" applyBorder="1" applyAlignment="1">
      <alignment vertical="center"/>
    </xf>
    <xf numFmtId="3" fontId="32" fillId="0" borderId="12" xfId="0" applyNumberFormat="1" applyFont="1" applyFill="1" applyBorder="1" applyAlignment="1">
      <alignment vertical="center"/>
    </xf>
    <xf numFmtId="3" fontId="30" fillId="0" borderId="12" xfId="0" applyNumberFormat="1" applyFont="1" applyFill="1" applyBorder="1" applyAlignment="1">
      <alignment horizontal="left" vertical="center"/>
    </xf>
    <xf numFmtId="3" fontId="28" fillId="6" borderId="12" xfId="0" applyNumberFormat="1" applyFont="1" applyFill="1" applyBorder="1" applyAlignment="1">
      <alignment vertical="center"/>
    </xf>
    <xf numFmtId="3" fontId="28" fillId="6" borderId="12" xfId="0" applyNumberFormat="1" applyFont="1" applyFill="1" applyBorder="1"/>
    <xf numFmtId="3" fontId="32" fillId="0" borderId="51" xfId="0" applyNumberFormat="1" applyFont="1" applyFill="1" applyBorder="1" applyAlignment="1">
      <alignment vertical="center"/>
    </xf>
    <xf numFmtId="3" fontId="32" fillId="0" borderId="48" xfId="0" applyNumberFormat="1" applyFont="1" applyFill="1" applyBorder="1" applyAlignment="1">
      <alignment vertical="center"/>
    </xf>
    <xf numFmtId="3" fontId="30" fillId="0" borderId="51" xfId="0" applyNumberFormat="1" applyFont="1" applyFill="1" applyBorder="1" applyAlignment="1">
      <alignment vertical="center"/>
    </xf>
    <xf numFmtId="3" fontId="31" fillId="2" borderId="0" xfId="0" applyNumberFormat="1" applyFont="1" applyFill="1" applyBorder="1" applyAlignment="1">
      <alignment vertical="center"/>
    </xf>
    <xf numFmtId="3" fontId="28" fillId="3" borderId="9" xfId="0" applyNumberFormat="1" applyFont="1" applyFill="1" applyBorder="1" applyAlignment="1">
      <alignment vertical="center"/>
    </xf>
    <xf numFmtId="3" fontId="28" fillId="7" borderId="9" xfId="0" applyNumberFormat="1" applyFont="1" applyFill="1" applyBorder="1" applyAlignment="1">
      <alignment vertical="center"/>
    </xf>
    <xf numFmtId="3" fontId="28" fillId="6" borderId="50" xfId="0" applyNumberFormat="1" applyFont="1" applyFill="1" applyBorder="1" applyAlignment="1"/>
    <xf numFmtId="3" fontId="28" fillId="6" borderId="12" xfId="0" applyNumberFormat="1" applyFont="1" applyFill="1" applyBorder="1" applyAlignment="1"/>
    <xf numFmtId="3" fontId="30" fillId="0" borderId="12" xfId="0" applyNumberFormat="1" applyFont="1" applyFill="1" applyBorder="1"/>
    <xf numFmtId="3" fontId="28" fillId="6" borderId="51" xfId="0" applyNumberFormat="1" applyFont="1" applyFill="1" applyBorder="1" applyAlignment="1"/>
    <xf numFmtId="3" fontId="30" fillId="0" borderId="51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3" fontId="31" fillId="4" borderId="0" xfId="0" applyNumberFormat="1" applyFont="1" applyFill="1" applyBorder="1"/>
    <xf numFmtId="3" fontId="31" fillId="5" borderId="0" xfId="0" applyNumberFormat="1" applyFont="1" applyFill="1" applyBorder="1"/>
    <xf numFmtId="3" fontId="30" fillId="0" borderId="52" xfId="0" applyNumberFormat="1" applyFont="1" applyFill="1" applyBorder="1"/>
    <xf numFmtId="3" fontId="33" fillId="0" borderId="0" xfId="0" applyNumberFormat="1" applyFont="1" applyFill="1"/>
    <xf numFmtId="3" fontId="31" fillId="0" borderId="0" xfId="0" applyNumberFormat="1" applyFont="1" applyFill="1" applyAlignment="1"/>
    <xf numFmtId="3" fontId="32" fillId="0" borderId="5" xfId="0" applyNumberFormat="1" applyFont="1" applyFill="1" applyBorder="1" applyAlignment="1">
      <alignment vertical="center"/>
    </xf>
    <xf numFmtId="3" fontId="32" fillId="8" borderId="3" xfId="0" applyNumberFormat="1" applyFont="1" applyFill="1" applyBorder="1" applyAlignment="1">
      <alignment vertical="center"/>
    </xf>
    <xf numFmtId="3" fontId="30" fillId="8" borderId="12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right" vertical="center"/>
    </xf>
    <xf numFmtId="0" fontId="5" fillId="6" borderId="5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4" fillId="3" borderId="9" xfId="0" applyFont="1" applyFill="1" applyBorder="1" applyAlignment="1"/>
    <xf numFmtId="3" fontId="30" fillId="0" borderId="7" xfId="0" applyNumberFormat="1" applyFont="1" applyFill="1" applyBorder="1" applyAlignment="1">
      <alignment horizontal="right" vertical="center"/>
    </xf>
    <xf numFmtId="3" fontId="30" fillId="0" borderId="5" xfId="0" applyNumberFormat="1" applyFont="1" applyFill="1" applyBorder="1" applyAlignment="1">
      <alignment horizontal="right" vertical="center"/>
    </xf>
    <xf numFmtId="3" fontId="30" fillId="0" borderId="5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/>
    <xf numFmtId="3" fontId="24" fillId="0" borderId="24" xfId="0" applyNumberFormat="1" applyFont="1" applyFill="1" applyBorder="1" applyAlignment="1"/>
    <xf numFmtId="3" fontId="4" fillId="3" borderId="9" xfId="0" applyNumberFormat="1" applyFont="1" applyFill="1" applyBorder="1" applyAlignment="1"/>
    <xf numFmtId="3" fontId="10" fillId="0" borderId="48" xfId="0" applyNumberFormat="1" applyFont="1" applyFill="1" applyBorder="1" applyAlignment="1"/>
    <xf numFmtId="3" fontId="16" fillId="0" borderId="48" xfId="0" applyNumberFormat="1" applyFont="1" applyFill="1" applyBorder="1" applyAlignment="1"/>
    <xf numFmtId="3" fontId="14" fillId="0" borderId="48" xfId="0" applyNumberFormat="1" applyFont="1" applyFill="1" applyBorder="1" applyAlignment="1"/>
    <xf numFmtId="3" fontId="31" fillId="0" borderId="24" xfId="0" applyNumberFormat="1" applyFont="1" applyFill="1" applyBorder="1" applyAlignment="1"/>
    <xf numFmtId="164" fontId="10" fillId="0" borderId="54" xfId="0" applyNumberFormat="1" applyFont="1" applyFill="1" applyBorder="1" applyAlignment="1"/>
    <xf numFmtId="164" fontId="16" fillId="0" borderId="54" xfId="0" applyNumberFormat="1" applyFont="1" applyFill="1" applyBorder="1" applyAlignment="1"/>
    <xf numFmtId="3" fontId="16" fillId="0" borderId="54" xfId="0" applyNumberFormat="1" applyFont="1" applyFill="1" applyBorder="1" applyAlignment="1"/>
    <xf numFmtId="3" fontId="14" fillId="0" borderId="54" xfId="0" applyNumberFormat="1" applyFont="1" applyFill="1" applyBorder="1" applyAlignment="1"/>
    <xf numFmtId="0" fontId="24" fillId="0" borderId="23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3" fontId="4" fillId="7" borderId="26" xfId="0" applyNumberFormat="1" applyFont="1" applyFill="1" applyBorder="1" applyAlignment="1"/>
    <xf numFmtId="3" fontId="4" fillId="7" borderId="6" xfId="0" applyNumberFormat="1" applyFont="1" applyFill="1" applyBorder="1" applyAlignment="1"/>
    <xf numFmtId="164" fontId="21" fillId="3" borderId="18" xfId="0" applyNumberFormat="1" applyFont="1" applyFill="1" applyBorder="1" applyAlignment="1">
      <alignment horizontal="right"/>
    </xf>
    <xf numFmtId="164" fontId="5" fillId="6" borderId="20" xfId="0" applyNumberFormat="1" applyFont="1" applyFill="1" applyBorder="1" applyAlignment="1">
      <alignment horizontal="right" vertical="center"/>
    </xf>
    <xf numFmtId="3" fontId="10" fillId="0" borderId="28" xfId="0" applyNumberFormat="1" applyFont="1" applyFill="1" applyBorder="1" applyAlignment="1"/>
    <xf numFmtId="3" fontId="16" fillId="0" borderId="28" xfId="0" applyNumberFormat="1" applyFont="1" applyFill="1" applyBorder="1" applyAlignment="1"/>
    <xf numFmtId="3" fontId="14" fillId="0" borderId="28" xfId="0" applyNumberFormat="1" applyFont="1" applyFill="1" applyBorder="1" applyAlignment="1"/>
    <xf numFmtId="3" fontId="24" fillId="0" borderId="28" xfId="0" applyNumberFormat="1" applyFont="1" applyFill="1" applyBorder="1" applyAlignment="1"/>
    <xf numFmtId="3" fontId="4" fillId="7" borderId="10" xfId="0" applyNumberFormat="1" applyFont="1" applyFill="1" applyBorder="1" applyAlignment="1"/>
    <xf numFmtId="0" fontId="1" fillId="0" borderId="2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4" fontId="24" fillId="0" borderId="20" xfId="0" applyNumberFormat="1" applyFont="1" applyFill="1" applyBorder="1" applyAlignment="1">
      <alignment horizontal="right" vertical="center"/>
    </xf>
    <xf numFmtId="164" fontId="7" fillId="0" borderId="55" xfId="0" applyNumberFormat="1" applyFont="1" applyFill="1" applyBorder="1" applyAlignment="1">
      <alignment horizontal="right" vertical="center"/>
    </xf>
    <xf numFmtId="164" fontId="7" fillId="8" borderId="2" xfId="0" applyNumberFormat="1" applyFont="1" applyFill="1" applyBorder="1" applyAlignment="1">
      <alignment horizontal="right" vertical="center"/>
    </xf>
    <xf numFmtId="3" fontId="24" fillId="8" borderId="3" xfId="0" applyNumberFormat="1" applyFont="1" applyFill="1" applyBorder="1" applyAlignment="1">
      <alignment vertical="center"/>
    </xf>
    <xf numFmtId="3" fontId="7" fillId="8" borderId="3" xfId="0" applyNumberFormat="1" applyFont="1" applyFill="1" applyBorder="1" applyAlignment="1">
      <alignment horizontal="left" vertical="center"/>
    </xf>
    <xf numFmtId="164" fontId="5" fillId="7" borderId="11" xfId="0" applyNumberFormat="1" applyFont="1" applyFill="1" applyBorder="1" applyAlignment="1">
      <alignment horizontal="right" vertical="top" shrinkToFit="1"/>
    </xf>
    <xf numFmtId="164" fontId="30" fillId="0" borderId="5" xfId="0" applyNumberFormat="1" applyFont="1" applyFill="1" applyBorder="1" applyAlignment="1">
      <alignment horizontal="right" vertical="center"/>
    </xf>
    <xf numFmtId="164" fontId="28" fillId="6" borderId="5" xfId="0" applyNumberFormat="1" applyFont="1" applyFill="1" applyBorder="1" applyAlignment="1">
      <alignment horizontal="right" vertical="center"/>
    </xf>
    <xf numFmtId="164" fontId="30" fillId="0" borderId="5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164" fontId="28" fillId="6" borderId="7" xfId="0" applyNumberFormat="1" applyFont="1" applyFill="1" applyBorder="1" applyAlignment="1">
      <alignment horizontal="right" vertical="center"/>
    </xf>
    <xf numFmtId="164" fontId="30" fillId="0" borderId="7" xfId="0" applyNumberFormat="1" applyFont="1" applyFill="1" applyBorder="1" applyAlignment="1">
      <alignment horizontal="right" vertical="center"/>
    </xf>
    <xf numFmtId="3" fontId="5" fillId="6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8" borderId="3" xfId="0" applyNumberFormat="1" applyFont="1" applyFill="1" applyBorder="1" applyAlignment="1">
      <alignment horizontal="right" vertical="center"/>
    </xf>
    <xf numFmtId="3" fontId="28" fillId="3" borderId="23" xfId="0" applyNumberFormat="1" applyFont="1" applyFill="1" applyBorder="1" applyAlignment="1">
      <alignment horizontal="center" vertical="center" wrapText="1"/>
    </xf>
    <xf numFmtId="3" fontId="28" fillId="3" borderId="24" xfId="0" applyNumberFormat="1" applyFont="1" applyFill="1" applyBorder="1" applyAlignment="1">
      <alignment horizontal="center" vertical="center" wrapText="1"/>
    </xf>
    <xf numFmtId="3" fontId="28" fillId="3" borderId="2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5" fillId="3" borderId="53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3" fontId="5" fillId="3" borderId="53" xfId="0" applyNumberFormat="1" applyFont="1" applyFill="1" applyBorder="1" applyAlignment="1">
      <alignment horizontal="center" vertical="center" wrapText="1"/>
    </xf>
    <xf numFmtId="3" fontId="5" fillId="3" borderId="48" xfId="0" applyNumberFormat="1" applyFont="1" applyFill="1" applyBorder="1" applyAlignment="1">
      <alignment horizontal="center" vertical="center" wrapText="1"/>
    </xf>
    <xf numFmtId="3" fontId="5" fillId="3" borderId="49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textRotation="90"/>
    </xf>
    <xf numFmtId="0" fontId="6" fillId="3" borderId="24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3" fontId="5" fillId="3" borderId="23" xfId="0" applyNumberFormat="1" applyFont="1" applyFill="1" applyBorder="1" applyAlignment="1">
      <alignment horizontal="center" vertical="center" wrapText="1"/>
    </xf>
    <xf numFmtId="3" fontId="5" fillId="3" borderId="24" xfId="0" applyNumberFormat="1" applyFont="1" applyFill="1" applyBorder="1" applyAlignment="1">
      <alignment horizontal="center" vertical="center" wrapText="1"/>
    </xf>
    <xf numFmtId="3" fontId="5" fillId="3" borderId="25" xfId="0" applyNumberFormat="1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164" fontId="24" fillId="0" borderId="33" xfId="0" applyNumberFormat="1" applyFont="1" applyFill="1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164" fontId="24" fillId="0" borderId="31" xfId="0" applyNumberFormat="1" applyFont="1" applyFill="1" applyBorder="1" applyAlignment="1">
      <alignment horizontal="right" vertical="center" wrapText="1"/>
    </xf>
    <xf numFmtId="164" fontId="24" fillId="0" borderId="8" xfId="0" applyNumberFormat="1" applyFont="1" applyFill="1" applyBorder="1" applyAlignment="1">
      <alignment horizontal="right" vertical="center" wrapText="1"/>
    </xf>
    <xf numFmtId="3" fontId="4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/>
    <xf numFmtId="0" fontId="0" fillId="3" borderId="18" xfId="0" applyFill="1" applyBorder="1" applyAlignment="1"/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center" vertical="center" wrapText="1"/>
    </xf>
    <xf numFmtId="164" fontId="6" fillId="3" borderId="31" xfId="0" applyNumberFormat="1" applyFont="1" applyFill="1" applyBorder="1" applyAlignment="1">
      <alignment horizontal="center" vertical="center" wrapText="1"/>
    </xf>
    <xf numFmtId="164" fontId="6" fillId="3" borderId="32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/>
    </xf>
    <xf numFmtId="3" fontId="4" fillId="3" borderId="18" xfId="0" applyNumberFormat="1" applyFont="1" applyFill="1" applyBorder="1" applyAlignment="1">
      <alignment horizontal="center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B122"/>
  <sheetViews>
    <sheetView showGridLines="0" tabSelected="1" view="pageBreakPreview" topLeftCell="A4" zoomScaleNormal="100" zoomScaleSheetLayoutView="100" workbookViewId="0">
      <selection activeCell="L37" sqref="L37"/>
    </sheetView>
  </sheetViews>
  <sheetFormatPr defaultRowHeight="12.75" x14ac:dyDescent="0.2"/>
  <cols>
    <col min="1" max="1" width="5.28515625" style="2" customWidth="1"/>
    <col min="2" max="2" width="51.85546875" style="2" customWidth="1"/>
    <col min="3" max="3" width="20.28515625" style="14" customWidth="1"/>
    <col min="4" max="4" width="20.28515625" style="180" customWidth="1"/>
    <col min="5" max="5" width="20.28515625" style="14" customWidth="1"/>
    <col min="6" max="6" width="7.140625" style="36" customWidth="1"/>
    <col min="7" max="7" width="20.28515625" style="14" customWidth="1"/>
    <col min="8" max="8" width="7.140625" style="36" customWidth="1"/>
    <col min="9" max="16384" width="9.140625" style="2"/>
  </cols>
  <sheetData>
    <row r="1" spans="1:184" ht="25.5" customHeight="1" x14ac:dyDescent="0.25">
      <c r="A1" s="1" t="s">
        <v>67</v>
      </c>
      <c r="C1" s="17"/>
      <c r="D1" s="156"/>
      <c r="E1" s="1"/>
      <c r="F1" s="32"/>
      <c r="G1" s="1"/>
      <c r="H1" s="2"/>
    </row>
    <row r="2" spans="1:184" ht="18.75" thickBot="1" x14ac:dyDescent="0.3">
      <c r="A2" s="1"/>
      <c r="C2" s="17"/>
      <c r="D2" s="156"/>
      <c r="E2" s="1"/>
      <c r="F2" s="32"/>
      <c r="G2" s="1"/>
      <c r="H2" s="32" t="s">
        <v>38</v>
      </c>
    </row>
    <row r="3" spans="1:184" ht="17.25" customHeight="1" thickTop="1" thickBot="1" x14ac:dyDescent="0.3">
      <c r="A3" s="245" t="s">
        <v>35</v>
      </c>
      <c r="B3" s="239" t="s">
        <v>18</v>
      </c>
      <c r="C3" s="242" t="s">
        <v>68</v>
      </c>
      <c r="D3" s="235" t="s">
        <v>69</v>
      </c>
      <c r="E3" s="260" t="s">
        <v>0</v>
      </c>
      <c r="F3" s="260"/>
      <c r="G3" s="261"/>
      <c r="H3" s="262"/>
    </row>
    <row r="4" spans="1:184" s="3" customFormat="1" ht="18.75" customHeight="1" thickTop="1" x14ac:dyDescent="0.2">
      <c r="A4" s="246"/>
      <c r="B4" s="240"/>
      <c r="C4" s="243"/>
      <c r="D4" s="236"/>
      <c r="E4" s="263">
        <v>2018</v>
      </c>
      <c r="F4" s="266" t="s">
        <v>65</v>
      </c>
      <c r="G4" s="263">
        <v>2019</v>
      </c>
      <c r="H4" s="266" t="s">
        <v>77</v>
      </c>
    </row>
    <row r="5" spans="1:184" s="4" customFormat="1" ht="31.5" customHeight="1" x14ac:dyDescent="0.2">
      <c r="A5" s="246"/>
      <c r="B5" s="240"/>
      <c r="C5" s="243"/>
      <c r="D5" s="236"/>
      <c r="E5" s="264"/>
      <c r="F5" s="267"/>
      <c r="G5" s="264"/>
      <c r="H5" s="267"/>
    </row>
    <row r="6" spans="1:184" s="4" customFormat="1" ht="13.5" customHeight="1" thickBot="1" x14ac:dyDescent="0.25">
      <c r="A6" s="247"/>
      <c r="B6" s="241"/>
      <c r="C6" s="244"/>
      <c r="D6" s="237"/>
      <c r="E6" s="265"/>
      <c r="F6" s="268"/>
      <c r="G6" s="265"/>
      <c r="H6" s="268"/>
    </row>
    <row r="7" spans="1:184" s="92" customFormat="1" ht="17.100000000000001" customHeight="1" thickTop="1" x14ac:dyDescent="0.2">
      <c r="A7" s="89">
        <v>1</v>
      </c>
      <c r="B7" s="189" t="s">
        <v>1</v>
      </c>
      <c r="C7" s="157">
        <f>SUM(C8:C9)</f>
        <v>3828980</v>
      </c>
      <c r="D7" s="230">
        <f>SUM(D8:D9)</f>
        <v>4101290</v>
      </c>
      <c r="E7" s="90">
        <f>SUM(E8:E9)</f>
        <v>4203790</v>
      </c>
      <c r="F7" s="91">
        <f>E7/D7*100</f>
        <v>102.49921366204291</v>
      </c>
      <c r="G7" s="90">
        <f>SUM(G8:G9)</f>
        <v>4287810</v>
      </c>
      <c r="H7" s="91">
        <f>G7/E7*100</f>
        <v>101.9986726263681</v>
      </c>
    </row>
    <row r="8" spans="1:184" s="5" customFormat="1" ht="17.100000000000001" customHeight="1" x14ac:dyDescent="0.2">
      <c r="A8" s="62">
        <v>2</v>
      </c>
      <c r="B8" s="190" t="s">
        <v>10</v>
      </c>
      <c r="C8" s="193">
        <v>3828000</v>
      </c>
      <c r="D8" s="231">
        <v>4100000</v>
      </c>
      <c r="E8" s="26">
        <f>D8*1.025</f>
        <v>4202500</v>
      </c>
      <c r="F8" s="27">
        <f>E8/D8*100</f>
        <v>102.49999999999999</v>
      </c>
      <c r="G8" s="26">
        <f>E8*1.02</f>
        <v>4286550</v>
      </c>
      <c r="H8" s="27">
        <f>G8/E8*100</f>
        <v>102</v>
      </c>
      <c r="J8" s="5">
        <f>D8/C8*100</f>
        <v>107.10553814002091</v>
      </c>
    </row>
    <row r="9" spans="1:184" s="5" customFormat="1" ht="17.100000000000001" customHeight="1" x14ac:dyDescent="0.2">
      <c r="A9" s="62">
        <v>3</v>
      </c>
      <c r="B9" s="190" t="s">
        <v>11</v>
      </c>
      <c r="C9" s="193">
        <v>980</v>
      </c>
      <c r="D9" s="231">
        <v>1290</v>
      </c>
      <c r="E9" s="26">
        <f>D9</f>
        <v>1290</v>
      </c>
      <c r="F9" s="27">
        <f t="shared" ref="F9:F18" si="0">E9/D9*100</f>
        <v>100</v>
      </c>
      <c r="G9" s="26">
        <v>1260</v>
      </c>
      <c r="H9" s="27">
        <f>G9/E9*100</f>
        <v>97.674418604651152</v>
      </c>
    </row>
    <row r="10" spans="1:184" s="92" customFormat="1" ht="17.100000000000001" customHeight="1" x14ac:dyDescent="0.2">
      <c r="A10" s="93">
        <v>4</v>
      </c>
      <c r="B10" s="191" t="s">
        <v>2</v>
      </c>
      <c r="C10" s="158">
        <f>SUM(C11:C18)</f>
        <v>307967</v>
      </c>
      <c r="D10" s="227">
        <f>SUM(D11:D18)</f>
        <v>311168.59999999998</v>
      </c>
      <c r="E10" s="232">
        <f>SUM(E11:E18)</f>
        <v>308672</v>
      </c>
      <c r="F10" s="94">
        <f t="shared" si="0"/>
        <v>99.197669687751272</v>
      </c>
      <c r="G10" s="232">
        <f>SUM(G11:G18)</f>
        <v>312293</v>
      </c>
      <c r="H10" s="94">
        <f>G10/E10*100</f>
        <v>101.17308988181631</v>
      </c>
      <c r="GB10" s="92">
        <v>761937.54647170787</v>
      </c>
    </row>
    <row r="11" spans="1:184" s="5" customFormat="1" ht="17.100000000000001" customHeight="1" x14ac:dyDescent="0.2">
      <c r="A11" s="62">
        <v>5</v>
      </c>
      <c r="B11" s="190" t="s">
        <v>13</v>
      </c>
      <c r="C11" s="194">
        <v>38231</v>
      </c>
      <c r="D11" s="226">
        <v>31179.200000000001</v>
      </c>
      <c r="E11" s="233">
        <v>31179</v>
      </c>
      <c r="F11" s="27">
        <f t="shared" si="0"/>
        <v>99.999358546723442</v>
      </c>
      <c r="G11" s="233">
        <f>E11</f>
        <v>31179</v>
      </c>
      <c r="H11" s="27">
        <f>G11/E11*100</f>
        <v>100</v>
      </c>
    </row>
    <row r="12" spans="1:184" s="5" customFormat="1" ht="17.100000000000001" customHeight="1" x14ac:dyDescent="0.2">
      <c r="A12" s="62">
        <v>6</v>
      </c>
      <c r="B12" s="190" t="s">
        <v>14</v>
      </c>
      <c r="C12" s="194">
        <v>2380</v>
      </c>
      <c r="D12" s="226">
        <v>2480</v>
      </c>
      <c r="E12" s="233">
        <f>D12</f>
        <v>2480</v>
      </c>
      <c r="F12" s="27">
        <f t="shared" si="0"/>
        <v>100</v>
      </c>
      <c r="G12" s="233">
        <f>E12</f>
        <v>2480</v>
      </c>
      <c r="H12" s="27">
        <f t="shared" ref="H12:H18" si="1">G12/E12*100</f>
        <v>100</v>
      </c>
    </row>
    <row r="13" spans="1:184" s="5" customFormat="1" ht="17.100000000000001" customHeight="1" x14ac:dyDescent="0.2">
      <c r="A13" s="62">
        <v>7</v>
      </c>
      <c r="B13" s="190" t="s">
        <v>58</v>
      </c>
      <c r="C13" s="194">
        <f>1000+38495</f>
        <v>39495</v>
      </c>
      <c r="D13" s="226">
        <f>40192+1310</f>
        <v>41502</v>
      </c>
      <c r="E13" s="233">
        <f t="shared" ref="E13" si="2">D13</f>
        <v>41502</v>
      </c>
      <c r="F13" s="27">
        <f t="shared" si="0"/>
        <v>100</v>
      </c>
      <c r="G13" s="233">
        <f t="shared" ref="G13:G18" si="3">E13</f>
        <v>41502</v>
      </c>
      <c r="H13" s="27">
        <f t="shared" si="1"/>
        <v>100</v>
      </c>
    </row>
    <row r="14" spans="1:184" s="5" customFormat="1" ht="17.100000000000001" customHeight="1" x14ac:dyDescent="0.2">
      <c r="A14" s="62">
        <v>8</v>
      </c>
      <c r="B14" s="190" t="s">
        <v>15</v>
      </c>
      <c r="C14" s="194">
        <v>1801</v>
      </c>
      <c r="D14" s="226">
        <v>1000.4</v>
      </c>
      <c r="E14" s="233">
        <v>1001</v>
      </c>
      <c r="F14" s="27">
        <f t="shared" si="0"/>
        <v>100.05997600959617</v>
      </c>
      <c r="G14" s="233">
        <v>1151</v>
      </c>
      <c r="H14" s="27">
        <f t="shared" si="1"/>
        <v>114.98501498501498</v>
      </c>
    </row>
    <row r="15" spans="1:184" s="5" customFormat="1" ht="17.100000000000001" customHeight="1" x14ac:dyDescent="0.2">
      <c r="A15" s="62">
        <v>9</v>
      </c>
      <c r="B15" s="190" t="s">
        <v>16</v>
      </c>
      <c r="C15" s="194">
        <v>158757</v>
      </c>
      <c r="D15" s="226">
        <v>170165</v>
      </c>
      <c r="E15" s="233">
        <v>173568</v>
      </c>
      <c r="F15" s="27">
        <f t="shared" si="0"/>
        <v>101.99982370052597</v>
      </c>
      <c r="G15" s="233">
        <v>177039</v>
      </c>
      <c r="H15" s="27">
        <f t="shared" si="1"/>
        <v>101.99979258849558</v>
      </c>
    </row>
    <row r="16" spans="1:184" s="5" customFormat="1" ht="17.100000000000001" customHeight="1" x14ac:dyDescent="0.2">
      <c r="A16" s="62">
        <v>10</v>
      </c>
      <c r="B16" s="190" t="s">
        <v>32</v>
      </c>
      <c r="C16" s="194">
        <v>9218</v>
      </c>
      <c r="D16" s="226">
        <v>6600</v>
      </c>
      <c r="E16" s="234">
        <v>700</v>
      </c>
      <c r="F16" s="222">
        <f t="shared" si="0"/>
        <v>10.606060606060606</v>
      </c>
      <c r="G16" s="234">
        <v>700</v>
      </c>
      <c r="H16" s="27">
        <f t="shared" si="1"/>
        <v>100</v>
      </c>
    </row>
    <row r="17" spans="1:8" s="5" customFormat="1" ht="17.100000000000001" customHeight="1" x14ac:dyDescent="0.2">
      <c r="A17" s="62">
        <v>11</v>
      </c>
      <c r="B17" s="190" t="s">
        <v>17</v>
      </c>
      <c r="C17" s="194">
        <v>50000</v>
      </c>
      <c r="D17" s="226">
        <v>50000</v>
      </c>
      <c r="E17" s="233">
        <f t="shared" ref="E17:E18" si="4">D17</f>
        <v>50000</v>
      </c>
      <c r="F17" s="27">
        <f t="shared" si="0"/>
        <v>100</v>
      </c>
      <c r="G17" s="233">
        <f t="shared" si="3"/>
        <v>50000</v>
      </c>
      <c r="H17" s="27">
        <f t="shared" si="1"/>
        <v>100</v>
      </c>
    </row>
    <row r="18" spans="1:8" s="5" customFormat="1" ht="17.100000000000001" customHeight="1" x14ac:dyDescent="0.2">
      <c r="A18" s="62">
        <v>12</v>
      </c>
      <c r="B18" s="190" t="s">
        <v>59</v>
      </c>
      <c r="C18" s="194">
        <v>8085</v>
      </c>
      <c r="D18" s="226">
        <v>8242</v>
      </c>
      <c r="E18" s="233">
        <f t="shared" si="4"/>
        <v>8242</v>
      </c>
      <c r="F18" s="27">
        <f t="shared" si="0"/>
        <v>100</v>
      </c>
      <c r="G18" s="233">
        <f t="shared" si="3"/>
        <v>8242</v>
      </c>
      <c r="H18" s="27">
        <f t="shared" si="1"/>
        <v>100</v>
      </c>
    </row>
    <row r="19" spans="1:8" s="92" customFormat="1" ht="17.100000000000001" customHeight="1" x14ac:dyDescent="0.2">
      <c r="A19" s="93">
        <v>13</v>
      </c>
      <c r="B19" s="191" t="s">
        <v>3</v>
      </c>
      <c r="C19" s="158">
        <v>54900</v>
      </c>
      <c r="D19" s="227">
        <v>13200</v>
      </c>
      <c r="E19" s="232">
        <v>20000</v>
      </c>
      <c r="F19" s="94">
        <f>E19/D19*100</f>
        <v>151.5151515151515</v>
      </c>
      <c r="G19" s="232">
        <v>22000</v>
      </c>
      <c r="H19" s="94">
        <f>G19/E19*100</f>
        <v>110.00000000000001</v>
      </c>
    </row>
    <row r="20" spans="1:8" s="92" customFormat="1" ht="17.100000000000001" customHeight="1" x14ac:dyDescent="0.2">
      <c r="A20" s="93">
        <v>14</v>
      </c>
      <c r="B20" s="191" t="s">
        <v>4</v>
      </c>
      <c r="C20" s="158">
        <f>SUM(C21)</f>
        <v>76028</v>
      </c>
      <c r="D20" s="227">
        <f>SUM(D21:D23)</f>
        <v>137436.4</v>
      </c>
      <c r="E20" s="232">
        <f>SUM(E21:E21)</f>
        <v>81145</v>
      </c>
      <c r="F20" s="95">
        <f>E20/D20*100</f>
        <v>59.041854996201884</v>
      </c>
      <c r="G20" s="232">
        <f>SUM(G21:G21)</f>
        <v>81145</v>
      </c>
      <c r="H20" s="212">
        <f t="shared" ref="H20:H24" si="5">G20/E20*100</f>
        <v>100</v>
      </c>
    </row>
    <row r="21" spans="1:8" s="5" customFormat="1" ht="17.100000000000001" customHeight="1" x14ac:dyDescent="0.2">
      <c r="A21" s="62">
        <v>15</v>
      </c>
      <c r="B21" s="56" t="s">
        <v>12</v>
      </c>
      <c r="C21" s="195">
        <v>76028</v>
      </c>
      <c r="D21" s="228">
        <v>81145.399999999994</v>
      </c>
      <c r="E21" s="28">
        <v>81145</v>
      </c>
      <c r="F21" s="27">
        <f>E21/D21*100</f>
        <v>99.999507057701365</v>
      </c>
      <c r="G21" s="28">
        <f>E21</f>
        <v>81145</v>
      </c>
      <c r="H21" s="70">
        <f t="shared" si="5"/>
        <v>100</v>
      </c>
    </row>
    <row r="22" spans="1:8" s="5" customFormat="1" ht="17.100000000000001" customHeight="1" x14ac:dyDescent="0.2">
      <c r="A22" s="62">
        <v>16</v>
      </c>
      <c r="B22" s="56" t="s">
        <v>75</v>
      </c>
      <c r="C22" s="195"/>
      <c r="D22" s="228">
        <v>6291</v>
      </c>
      <c r="E22" s="229"/>
      <c r="F22" s="27"/>
      <c r="G22" s="28"/>
      <c r="H22" s="70"/>
    </row>
    <row r="23" spans="1:8" s="5" customFormat="1" ht="17.100000000000001" customHeight="1" thickBot="1" x14ac:dyDescent="0.25">
      <c r="A23" s="62">
        <v>17</v>
      </c>
      <c r="B23" s="56" t="s">
        <v>76</v>
      </c>
      <c r="C23" s="195"/>
      <c r="D23" s="228">
        <v>50000</v>
      </c>
      <c r="E23" s="229"/>
      <c r="F23" s="27"/>
      <c r="G23" s="28"/>
      <c r="H23" s="70"/>
    </row>
    <row r="24" spans="1:8" s="54" customFormat="1" ht="27" customHeight="1" thickTop="1" thickBot="1" x14ac:dyDescent="0.3">
      <c r="A24" s="64">
        <v>18</v>
      </c>
      <c r="B24" s="192" t="s">
        <v>5</v>
      </c>
      <c r="C24" s="198">
        <f t="shared" ref="C24" si="6">SUM(C19:C20,C10,C7)</f>
        <v>4267875</v>
      </c>
      <c r="D24" s="196">
        <f>SUM(D19:D20,D10,D7)</f>
        <v>4563095</v>
      </c>
      <c r="E24" s="53">
        <f>SUM(E19:E20,E10,E7)</f>
        <v>4613607</v>
      </c>
      <c r="F24" s="211">
        <f>E24/D24*100</f>
        <v>101.10696796801292</v>
      </c>
      <c r="G24" s="53">
        <f>SUM(G19:G20,G10,G7)</f>
        <v>4703248</v>
      </c>
      <c r="H24" s="211">
        <f t="shared" si="5"/>
        <v>101.94297000156276</v>
      </c>
    </row>
    <row r="25" spans="1:8" s="6" customFormat="1" ht="13.5" hidden="1" thickTop="1" x14ac:dyDescent="0.2">
      <c r="B25" s="7"/>
      <c r="C25" s="199" t="e">
        <f>SUM(#REF!)</f>
        <v>#REF!</v>
      </c>
      <c r="D25" s="202"/>
      <c r="E25" s="213">
        <f>SUM(E93)</f>
        <v>0</v>
      </c>
      <c r="F25" s="203">
        <f>SUM(F93)</f>
        <v>0</v>
      </c>
      <c r="G25" s="213">
        <f>SUM(G93)+G92</f>
        <v>0</v>
      </c>
      <c r="H25" s="203">
        <f>SUM(H93)</f>
        <v>0</v>
      </c>
    </row>
    <row r="26" spans="1:8" s="6" customFormat="1" ht="13.5" hidden="1" thickTop="1" x14ac:dyDescent="0.2">
      <c r="B26" s="7"/>
      <c r="C26" s="200" t="e">
        <f>SUM(C25:C25)</f>
        <v>#REF!</v>
      </c>
      <c r="D26" s="202"/>
      <c r="E26" s="214">
        <f>SUM(E24:E25)</f>
        <v>4613607</v>
      </c>
      <c r="F26" s="204">
        <f>SUM(F24:F25)</f>
        <v>101.10696796801292</v>
      </c>
      <c r="G26" s="214">
        <f>SUM(G24:G25)</f>
        <v>4703248</v>
      </c>
      <c r="H26" s="205">
        <f>SUM(H24:H25)</f>
        <v>101.94297000156276</v>
      </c>
    </row>
    <row r="27" spans="1:8" s="21" customFormat="1" ht="13.5" hidden="1" thickTop="1" x14ac:dyDescent="0.2">
      <c r="B27" s="20"/>
      <c r="C27" s="200" t="e">
        <f>-SUM(#REF!)</f>
        <v>#REF!</v>
      </c>
      <c r="D27" s="202"/>
      <c r="E27" s="214" t="e">
        <f>-SUM(#REF!)</f>
        <v>#REF!</v>
      </c>
      <c r="F27" s="204"/>
      <c r="G27" s="214" t="e">
        <f>-SUM(#REF!)</f>
        <v>#REF!</v>
      </c>
      <c r="H27" s="205" t="e">
        <f>-SUM(#REF!)</f>
        <v>#REF!</v>
      </c>
    </row>
    <row r="28" spans="1:8" s="21" customFormat="1" ht="13.5" hidden="1" thickTop="1" x14ac:dyDescent="0.2">
      <c r="B28" s="20"/>
      <c r="C28" s="200" t="e">
        <f t="shared" ref="C28:H28" si="7">SUM(C26:C27)</f>
        <v>#REF!</v>
      </c>
      <c r="D28" s="202"/>
      <c r="E28" s="214" t="e">
        <f t="shared" si="7"/>
        <v>#REF!</v>
      </c>
      <c r="F28" s="204">
        <f t="shared" si="7"/>
        <v>101.10696796801292</v>
      </c>
      <c r="G28" s="214" t="e">
        <f t="shared" si="7"/>
        <v>#REF!</v>
      </c>
      <c r="H28" s="205" t="e">
        <f t="shared" si="7"/>
        <v>#REF!</v>
      </c>
    </row>
    <row r="29" spans="1:8" s="21" customFormat="1" ht="13.5" hidden="1" thickTop="1" x14ac:dyDescent="0.2">
      <c r="B29" s="20"/>
      <c r="C29" s="200" t="e">
        <f>-SUM(#REF!)</f>
        <v>#REF!</v>
      </c>
      <c r="D29" s="202"/>
      <c r="E29" s="214" t="e">
        <f>-SUM(#REF!)</f>
        <v>#REF!</v>
      </c>
      <c r="F29" s="205" t="e">
        <f>-SUM(#REF!)</f>
        <v>#REF!</v>
      </c>
      <c r="G29" s="214" t="e">
        <f>-SUM(#REF!)</f>
        <v>#REF!</v>
      </c>
      <c r="H29" s="205" t="e">
        <f>-SUM(#REF!)</f>
        <v>#REF!</v>
      </c>
    </row>
    <row r="30" spans="1:8" s="21" customFormat="1" ht="13.5" hidden="1" thickTop="1" x14ac:dyDescent="0.2">
      <c r="B30" s="20"/>
      <c r="C30" s="200" t="e">
        <f>-SUM(#REF!)</f>
        <v>#REF!</v>
      </c>
      <c r="D30" s="202"/>
      <c r="E30" s="214" t="e">
        <f>-SUM(#REF!)</f>
        <v>#REF!</v>
      </c>
      <c r="F30" s="205" t="e">
        <f>-SUM(#REF!)</f>
        <v>#REF!</v>
      </c>
      <c r="G30" s="214" t="e">
        <f>-SUM(#REF!)-G92</f>
        <v>#REF!</v>
      </c>
      <c r="H30" s="205" t="e">
        <f>-SUM(#REF!)-H92</f>
        <v>#REF!</v>
      </c>
    </row>
    <row r="31" spans="1:8" s="6" customFormat="1" ht="13.5" hidden="1" thickTop="1" x14ac:dyDescent="0.2">
      <c r="B31" s="7"/>
      <c r="C31" s="201" t="e">
        <f t="shared" ref="C31:H31" si="8">SUM(C28:C30)</f>
        <v>#REF!</v>
      </c>
      <c r="D31" s="202"/>
      <c r="E31" s="215" t="e">
        <f t="shared" si="8"/>
        <v>#REF!</v>
      </c>
      <c r="F31" s="206" t="e">
        <f t="shared" si="8"/>
        <v>#REF!</v>
      </c>
      <c r="G31" s="215" t="e">
        <f t="shared" si="8"/>
        <v>#REF!</v>
      </c>
      <c r="H31" s="206" t="e">
        <f t="shared" si="8"/>
        <v>#REF!</v>
      </c>
    </row>
    <row r="32" spans="1:8" s="4" customFormat="1" ht="15.75" thickTop="1" thickBot="1" x14ac:dyDescent="0.25">
      <c r="A32" s="218">
        <v>19</v>
      </c>
      <c r="B32" s="207" t="s">
        <v>60</v>
      </c>
      <c r="C32" s="197">
        <v>-8083</v>
      </c>
      <c r="D32" s="197">
        <v>-8240</v>
      </c>
      <c r="E32" s="216">
        <v>-8240</v>
      </c>
      <c r="F32" s="220">
        <f>E32/D32*100</f>
        <v>100</v>
      </c>
      <c r="G32" s="216">
        <v>-8240</v>
      </c>
      <c r="H32" s="79">
        <f>G32/E32*100</f>
        <v>100</v>
      </c>
    </row>
    <row r="33" spans="1:8" s="4" customFormat="1" ht="24.75" customHeight="1" thickTop="1" thickBot="1" x14ac:dyDescent="0.3">
      <c r="A33" s="219">
        <v>20</v>
      </c>
      <c r="B33" s="208" t="s">
        <v>61</v>
      </c>
      <c r="C33" s="209">
        <f>C24+C32</f>
        <v>4259792</v>
      </c>
      <c r="D33" s="210">
        <f>D24+D32</f>
        <v>4554855</v>
      </c>
      <c r="E33" s="217">
        <f>E24+E32</f>
        <v>4605367</v>
      </c>
      <c r="F33" s="211">
        <f>E33/D33*100</f>
        <v>101.10897053803029</v>
      </c>
      <c r="G33" s="217">
        <f>G24+G32</f>
        <v>4695008</v>
      </c>
      <c r="H33" s="211">
        <f>G33/E33*100</f>
        <v>101.94644639612869</v>
      </c>
    </row>
    <row r="34" spans="1:8" s="4" customFormat="1" ht="13.5" thickTop="1" x14ac:dyDescent="0.2">
      <c r="B34" s="186"/>
      <c r="C34" s="187"/>
      <c r="D34" s="187"/>
      <c r="E34" s="187"/>
      <c r="F34" s="187"/>
      <c r="G34" s="187"/>
      <c r="H34" s="187"/>
    </row>
    <row r="35" spans="1:8" s="4" customFormat="1" ht="13.5" thickBot="1" x14ac:dyDescent="0.25">
      <c r="B35" s="186"/>
      <c r="C35" s="187"/>
      <c r="D35" s="187"/>
      <c r="E35" s="187"/>
      <c r="F35" s="188"/>
      <c r="G35" s="187"/>
      <c r="H35" s="188"/>
    </row>
    <row r="36" spans="1:8" ht="17.25" customHeight="1" thickTop="1" thickBot="1" x14ac:dyDescent="0.3">
      <c r="A36" s="245" t="s">
        <v>35</v>
      </c>
      <c r="B36" s="248" t="s">
        <v>19</v>
      </c>
      <c r="C36" s="251" t="s">
        <v>68</v>
      </c>
      <c r="D36" s="235" t="s">
        <v>69</v>
      </c>
      <c r="E36" s="269" t="s">
        <v>0</v>
      </c>
      <c r="F36" s="260"/>
      <c r="G36" s="260"/>
      <c r="H36" s="270"/>
    </row>
    <row r="37" spans="1:8" s="3" customFormat="1" ht="18.75" customHeight="1" thickTop="1" x14ac:dyDescent="0.2">
      <c r="A37" s="246"/>
      <c r="B37" s="249"/>
      <c r="C37" s="252"/>
      <c r="D37" s="236"/>
      <c r="E37" s="263">
        <v>2018</v>
      </c>
      <c r="F37" s="266" t="s">
        <v>65</v>
      </c>
      <c r="G37" s="263">
        <v>2019</v>
      </c>
      <c r="H37" s="266" t="s">
        <v>77</v>
      </c>
    </row>
    <row r="38" spans="1:8" s="4" customFormat="1" ht="31.5" customHeight="1" x14ac:dyDescent="0.2">
      <c r="A38" s="246"/>
      <c r="B38" s="249"/>
      <c r="C38" s="252"/>
      <c r="D38" s="236"/>
      <c r="E38" s="264"/>
      <c r="F38" s="267"/>
      <c r="G38" s="264"/>
      <c r="H38" s="267"/>
    </row>
    <row r="39" spans="1:8" s="4" customFormat="1" ht="13.5" customHeight="1" thickBot="1" x14ac:dyDescent="0.25">
      <c r="A39" s="247"/>
      <c r="B39" s="250"/>
      <c r="C39" s="253"/>
      <c r="D39" s="237"/>
      <c r="E39" s="265"/>
      <c r="F39" s="268"/>
      <c r="G39" s="265"/>
      <c r="H39" s="268"/>
    </row>
    <row r="40" spans="1:8" s="97" customFormat="1" ht="32.25" customHeight="1" thickTop="1" x14ac:dyDescent="0.25">
      <c r="A40" s="89">
        <v>21</v>
      </c>
      <c r="B40" s="80" t="s">
        <v>42</v>
      </c>
      <c r="C40" s="159">
        <f>SUM(C41,C42,C45,C46)</f>
        <v>968003</v>
      </c>
      <c r="D40" s="159">
        <f>SUM(D41:D46)</f>
        <v>975544</v>
      </c>
      <c r="E40" s="81">
        <f>SUM(E41:E46)</f>
        <v>958415</v>
      </c>
      <c r="F40" s="96">
        <f t="shared" ref="F40:F47" si="9">E40/D40*100</f>
        <v>98.244159156327143</v>
      </c>
      <c r="G40" s="81">
        <f>SUM(G41:G42,G45:G46)</f>
        <v>955454</v>
      </c>
      <c r="H40" s="94">
        <f t="shared" ref="H40:H53" si="10">G40/E40*100</f>
        <v>99.691052414663801</v>
      </c>
    </row>
    <row r="41" spans="1:8" s="30" customFormat="1" ht="16.5" customHeight="1" x14ac:dyDescent="0.25">
      <c r="A41" s="63">
        <v>22</v>
      </c>
      <c r="B41" s="76" t="s">
        <v>44</v>
      </c>
      <c r="C41" s="160">
        <f>622850-55120-45952</f>
        <v>521778</v>
      </c>
      <c r="D41" s="160">
        <f>686314-71000-40688-10000</f>
        <v>564626</v>
      </c>
      <c r="E41" s="78">
        <f>D41</f>
        <v>564626</v>
      </c>
      <c r="F41" s="79">
        <f t="shared" si="9"/>
        <v>100</v>
      </c>
      <c r="G41" s="78">
        <f>E41</f>
        <v>564626</v>
      </c>
      <c r="H41" s="79">
        <f>G41/E41*100</f>
        <v>100</v>
      </c>
    </row>
    <row r="42" spans="1:8" s="30" customFormat="1" ht="16.5" customHeight="1" x14ac:dyDescent="0.25">
      <c r="A42" s="63">
        <v>23</v>
      </c>
      <c r="B42" s="76" t="s">
        <v>45</v>
      </c>
      <c r="C42" s="160">
        <v>345153</v>
      </c>
      <c r="D42" s="160">
        <v>289230</v>
      </c>
      <c r="E42" s="78">
        <v>309103</v>
      </c>
      <c r="F42" s="79">
        <f t="shared" si="9"/>
        <v>106.87100231649553</v>
      </c>
      <c r="G42" s="78">
        <f>E42</f>
        <v>309103</v>
      </c>
      <c r="H42" s="79">
        <f>G42/E42*100</f>
        <v>100</v>
      </c>
    </row>
    <row r="43" spans="1:8" s="15" customFormat="1" ht="16.5" hidden="1" customHeight="1" x14ac:dyDescent="0.2">
      <c r="A43" s="63">
        <v>20</v>
      </c>
      <c r="B43" s="55" t="s">
        <v>33</v>
      </c>
      <c r="C43" s="161"/>
      <c r="D43" s="161"/>
      <c r="E43" s="85">
        <f>D43</f>
        <v>0</v>
      </c>
      <c r="F43" s="86" t="e">
        <f t="shared" si="9"/>
        <v>#DIV/0!</v>
      </c>
      <c r="G43" s="85">
        <f>E43</f>
        <v>0</v>
      </c>
      <c r="H43" s="86" t="e">
        <f t="shared" si="10"/>
        <v>#DIV/0!</v>
      </c>
    </row>
    <row r="44" spans="1:8" s="15" customFormat="1" ht="16.5" hidden="1" customHeight="1" x14ac:dyDescent="0.2">
      <c r="A44" s="63">
        <v>21</v>
      </c>
      <c r="B44" s="55" t="s">
        <v>34</v>
      </c>
      <c r="C44" s="161"/>
      <c r="D44" s="161"/>
      <c r="E44" s="85">
        <f>D44</f>
        <v>0</v>
      </c>
      <c r="F44" s="86" t="e">
        <f t="shared" si="9"/>
        <v>#DIV/0!</v>
      </c>
      <c r="G44" s="85">
        <f>E44</f>
        <v>0</v>
      </c>
      <c r="H44" s="86" t="e">
        <f t="shared" si="10"/>
        <v>#DIV/0!</v>
      </c>
    </row>
    <row r="45" spans="1:8" s="30" customFormat="1" ht="16.5" customHeight="1" x14ac:dyDescent="0.25">
      <c r="A45" s="63">
        <v>24</v>
      </c>
      <c r="B45" s="76" t="s">
        <v>66</v>
      </c>
      <c r="C45" s="160">
        <v>55120</v>
      </c>
      <c r="D45" s="160">
        <f>36000+35000+10000</f>
        <v>81000</v>
      </c>
      <c r="E45" s="78">
        <v>45000</v>
      </c>
      <c r="F45" s="79">
        <f t="shared" si="9"/>
        <v>55.555555555555557</v>
      </c>
      <c r="G45" s="78">
        <f>E45</f>
        <v>45000</v>
      </c>
      <c r="H45" s="79">
        <f t="shared" si="10"/>
        <v>100</v>
      </c>
    </row>
    <row r="46" spans="1:8" s="30" customFormat="1" ht="16.5" customHeight="1" x14ac:dyDescent="0.25">
      <c r="A46" s="63">
        <v>25</v>
      </c>
      <c r="B46" s="76" t="s">
        <v>46</v>
      </c>
      <c r="C46" s="183">
        <f>SUM(C47:C50)</f>
        <v>45952</v>
      </c>
      <c r="D46" s="183">
        <f>SUM(D47:D50)</f>
        <v>40688</v>
      </c>
      <c r="E46" s="223">
        <f>SUM(E47:E50)</f>
        <v>39686</v>
      </c>
      <c r="F46" s="79">
        <f t="shared" si="9"/>
        <v>97.537357451828541</v>
      </c>
      <c r="G46" s="223">
        <f>SUM(G47:G50)</f>
        <v>36725</v>
      </c>
      <c r="H46" s="79">
        <f t="shared" si="10"/>
        <v>92.538930605251224</v>
      </c>
    </row>
    <row r="47" spans="1:8" s="15" customFormat="1" ht="16.5" customHeight="1" x14ac:dyDescent="0.2">
      <c r="A47" s="63">
        <v>26</v>
      </c>
      <c r="B47" s="56" t="s">
        <v>47</v>
      </c>
      <c r="C47" s="184">
        <v>7024</v>
      </c>
      <c r="D47" s="184">
        <v>6122</v>
      </c>
      <c r="E47" s="224">
        <v>6121</v>
      </c>
      <c r="F47" s="86">
        <f t="shared" si="9"/>
        <v>99.983665468801036</v>
      </c>
      <c r="G47" s="224">
        <v>5670</v>
      </c>
      <c r="H47" s="86">
        <f t="shared" si="10"/>
        <v>92.631922888416923</v>
      </c>
    </row>
    <row r="48" spans="1:8" s="15" customFormat="1" ht="16.5" customHeight="1" x14ac:dyDescent="0.2">
      <c r="A48" s="63">
        <v>27</v>
      </c>
      <c r="B48" s="56" t="s">
        <v>39</v>
      </c>
      <c r="C48" s="184">
        <v>29188</v>
      </c>
      <c r="D48" s="184">
        <v>26892</v>
      </c>
      <c r="E48" s="224">
        <v>26891</v>
      </c>
      <c r="F48" s="86">
        <f t="shared" ref="F48:F49" si="11">E48/D48*100</f>
        <v>99.996281421984236</v>
      </c>
      <c r="G48" s="224">
        <v>25415</v>
      </c>
      <c r="H48" s="86">
        <f t="shared" si="10"/>
        <v>94.5111747424789</v>
      </c>
    </row>
    <row r="49" spans="1:10" s="15" customFormat="1" ht="16.5" customHeight="1" x14ac:dyDescent="0.2">
      <c r="A49" s="63">
        <v>28</v>
      </c>
      <c r="B49" s="56" t="s">
        <v>37</v>
      </c>
      <c r="C49" s="184">
        <v>8740</v>
      </c>
      <c r="D49" s="184">
        <v>6674</v>
      </c>
      <c r="E49" s="224">
        <v>6674</v>
      </c>
      <c r="F49" s="86">
        <f t="shared" si="11"/>
        <v>100</v>
      </c>
      <c r="G49" s="224">
        <v>5640</v>
      </c>
      <c r="H49" s="86">
        <f t="shared" si="10"/>
        <v>84.507042253521121</v>
      </c>
    </row>
    <row r="50" spans="1:10" s="15" customFormat="1" ht="16.5" customHeight="1" x14ac:dyDescent="0.2">
      <c r="A50" s="63">
        <v>29</v>
      </c>
      <c r="B50" s="56" t="s">
        <v>55</v>
      </c>
      <c r="C50" s="184">
        <v>1000</v>
      </c>
      <c r="D50" s="184">
        <v>1000</v>
      </c>
      <c r="E50" s="224"/>
      <c r="F50" s="86">
        <v>0</v>
      </c>
      <c r="G50" s="224"/>
      <c r="H50" s="86">
        <v>0</v>
      </c>
    </row>
    <row r="51" spans="1:10" s="92" customFormat="1" ht="15" customHeight="1" x14ac:dyDescent="0.2">
      <c r="A51" s="98">
        <v>30</v>
      </c>
      <c r="B51" s="99" t="s">
        <v>20</v>
      </c>
      <c r="C51" s="162">
        <f>SUM(C52:C56)</f>
        <v>2395371</v>
      </c>
      <c r="D51" s="162">
        <f>SUM(D52:D56)</f>
        <v>2496931</v>
      </c>
      <c r="E51" s="81">
        <f>SUM(E52:E56)</f>
        <v>2503405.98</v>
      </c>
      <c r="F51" s="94">
        <f>E51/D51*100</f>
        <v>100.25931753820991</v>
      </c>
      <c r="G51" s="81">
        <f>SUM(G52:G56)</f>
        <v>2510010.4595999997</v>
      </c>
      <c r="H51" s="94">
        <f>G51/E51*100</f>
        <v>100.26381975807215</v>
      </c>
    </row>
    <row r="52" spans="1:10" s="30" customFormat="1" ht="16.5" customHeight="1" x14ac:dyDescent="0.25">
      <c r="A52" s="63">
        <v>31</v>
      </c>
      <c r="B52" s="76" t="s">
        <v>49</v>
      </c>
      <c r="C52" s="160">
        <v>964701</v>
      </c>
      <c r="D52" s="160">
        <v>962615</v>
      </c>
      <c r="E52" s="78">
        <f>D52</f>
        <v>962615</v>
      </c>
      <c r="F52" s="79">
        <f>E52/D52*100</f>
        <v>100</v>
      </c>
      <c r="G52" s="78">
        <f>E52</f>
        <v>962615</v>
      </c>
      <c r="H52" s="79">
        <f>G52/E52*100</f>
        <v>100</v>
      </c>
    </row>
    <row r="53" spans="1:10" s="30" customFormat="1" ht="16.5" customHeight="1" x14ac:dyDescent="0.25">
      <c r="A53" s="63">
        <v>32</v>
      </c>
      <c r="B53" s="76" t="s">
        <v>50</v>
      </c>
      <c r="C53" s="160">
        <v>211135</v>
      </c>
      <c r="D53" s="160">
        <v>215434</v>
      </c>
      <c r="E53" s="78">
        <f>D53</f>
        <v>215434</v>
      </c>
      <c r="F53" s="79">
        <f>E53/D53*100</f>
        <v>100</v>
      </c>
      <c r="G53" s="78">
        <f>E53</f>
        <v>215434</v>
      </c>
      <c r="H53" s="79">
        <f t="shared" si="10"/>
        <v>100</v>
      </c>
    </row>
    <row r="54" spans="1:10" s="30" customFormat="1" ht="16.5" customHeight="1" x14ac:dyDescent="0.25">
      <c r="A54" s="63">
        <v>33</v>
      </c>
      <c r="B54" s="76" t="s">
        <v>51</v>
      </c>
      <c r="C54" s="160">
        <v>296153</v>
      </c>
      <c r="D54" s="160">
        <v>323749</v>
      </c>
      <c r="E54" s="78">
        <f>D54*1.02</f>
        <v>330223.98</v>
      </c>
      <c r="F54" s="79">
        <f>E54/D54*100</f>
        <v>102</v>
      </c>
      <c r="G54" s="78">
        <f>E54*1.02</f>
        <v>336828.4596</v>
      </c>
      <c r="H54" s="79">
        <f>G54/E54*100</f>
        <v>102</v>
      </c>
    </row>
    <row r="55" spans="1:10" s="30" customFormat="1" ht="16.5" customHeight="1" x14ac:dyDescent="0.25">
      <c r="A55" s="63">
        <v>34</v>
      </c>
      <c r="B55" s="76" t="s">
        <v>54</v>
      </c>
      <c r="C55" s="160">
        <v>20552</v>
      </c>
      <c r="D55" s="160">
        <f>3390+1931+50000+2500</f>
        <v>57821</v>
      </c>
      <c r="E55" s="78">
        <f>D55</f>
        <v>57821</v>
      </c>
      <c r="F55" s="79">
        <f t="shared" ref="F55:F60" si="12">E55/D55*100</f>
        <v>100</v>
      </c>
      <c r="G55" s="78">
        <f>E55</f>
        <v>57821</v>
      </c>
      <c r="H55" s="79">
        <f>G55/E55*100</f>
        <v>100</v>
      </c>
    </row>
    <row r="56" spans="1:10" s="30" customFormat="1" ht="16.5" customHeight="1" x14ac:dyDescent="0.25">
      <c r="A56" s="63">
        <v>35</v>
      </c>
      <c r="B56" s="76" t="s">
        <v>63</v>
      </c>
      <c r="C56" s="160">
        <v>902830</v>
      </c>
      <c r="D56" s="160">
        <v>937312</v>
      </c>
      <c r="E56" s="78">
        <f>D56</f>
        <v>937312</v>
      </c>
      <c r="F56" s="79">
        <f t="shared" si="12"/>
        <v>100</v>
      </c>
      <c r="G56" s="78">
        <f>E56</f>
        <v>937312</v>
      </c>
      <c r="H56" s="79">
        <f>G56/E56*100</f>
        <v>100</v>
      </c>
    </row>
    <row r="57" spans="1:10" s="97" customFormat="1" ht="16.5" customHeight="1" x14ac:dyDescent="0.25">
      <c r="A57" s="98">
        <v>36</v>
      </c>
      <c r="B57" s="80" t="s">
        <v>52</v>
      </c>
      <c r="C57" s="162">
        <v>21114</v>
      </c>
      <c r="D57" s="162">
        <v>17458</v>
      </c>
      <c r="E57" s="81">
        <v>0</v>
      </c>
      <c r="F57" s="82">
        <f t="shared" si="12"/>
        <v>0</v>
      </c>
      <c r="G57" s="81">
        <v>0</v>
      </c>
      <c r="H57" s="82">
        <v>0</v>
      </c>
    </row>
    <row r="58" spans="1:10" s="97" customFormat="1" ht="16.5" customHeight="1" x14ac:dyDescent="0.25">
      <c r="A58" s="98">
        <v>37</v>
      </c>
      <c r="B58" s="80" t="s">
        <v>21</v>
      </c>
      <c r="C58" s="162">
        <v>8085</v>
      </c>
      <c r="D58" s="162">
        <v>8242</v>
      </c>
      <c r="E58" s="81">
        <f>D58</f>
        <v>8242</v>
      </c>
      <c r="F58" s="82">
        <f t="shared" si="12"/>
        <v>100</v>
      </c>
      <c r="G58" s="81">
        <f>E58</f>
        <v>8242</v>
      </c>
      <c r="H58" s="82">
        <f>G58/E58*100</f>
        <v>100</v>
      </c>
    </row>
    <row r="59" spans="1:10" s="97" customFormat="1" ht="15" x14ac:dyDescent="0.25">
      <c r="A59" s="98">
        <v>38</v>
      </c>
      <c r="B59" s="80" t="s">
        <v>22</v>
      </c>
      <c r="C59" s="163">
        <v>50000</v>
      </c>
      <c r="D59" s="163">
        <v>50000</v>
      </c>
      <c r="E59" s="83">
        <f>D59</f>
        <v>50000</v>
      </c>
      <c r="F59" s="82">
        <f t="shared" si="12"/>
        <v>100</v>
      </c>
      <c r="G59" s="83">
        <f>E59</f>
        <v>50000</v>
      </c>
      <c r="H59" s="82">
        <f>G59/E59*100</f>
        <v>100</v>
      </c>
    </row>
    <row r="60" spans="1:10" s="92" customFormat="1" ht="27.75" customHeight="1" x14ac:dyDescent="0.2">
      <c r="A60" s="98">
        <v>39</v>
      </c>
      <c r="B60" s="80" t="s">
        <v>53</v>
      </c>
      <c r="C60" s="162">
        <f>SUM(C61:C66)</f>
        <v>846115</v>
      </c>
      <c r="D60" s="162">
        <f>SUM(D61:D75)</f>
        <v>1081855</v>
      </c>
      <c r="E60" s="159">
        <f>SUM(E61:E66)</f>
        <v>840387</v>
      </c>
      <c r="F60" s="84">
        <f t="shared" si="12"/>
        <v>77.680188195275718</v>
      </c>
      <c r="G60" s="81">
        <f>SUM(G61:G66)</f>
        <v>926385</v>
      </c>
      <c r="H60" s="132">
        <f>G60/E60*100</f>
        <v>110.23314258787916</v>
      </c>
    </row>
    <row r="61" spans="1:10" s="31" customFormat="1" ht="14.25" customHeight="1" x14ac:dyDescent="0.2">
      <c r="A61" s="63">
        <v>40</v>
      </c>
      <c r="B61" s="87" t="s">
        <v>56</v>
      </c>
      <c r="C61" s="182">
        <v>240821</v>
      </c>
      <c r="D61" s="182">
        <f>476592-23605-560</f>
        <v>452427</v>
      </c>
      <c r="E61" s="254">
        <v>816782</v>
      </c>
      <c r="F61" s="256">
        <f>E61/(D61+D62+D63+D64+D65)*100</f>
        <v>124.08385871629319</v>
      </c>
      <c r="G61" s="254">
        <v>902780</v>
      </c>
      <c r="H61" s="256">
        <f>G61/E61*100</f>
        <v>110.52888041117458</v>
      </c>
    </row>
    <row r="62" spans="1:10" s="31" customFormat="1" ht="14.25" hidden="1" customHeight="1" x14ac:dyDescent="0.2">
      <c r="A62" s="63">
        <v>39</v>
      </c>
      <c r="B62" s="87" t="s">
        <v>57</v>
      </c>
      <c r="C62" s="182"/>
      <c r="D62" s="182"/>
      <c r="E62" s="255"/>
      <c r="F62" s="257"/>
      <c r="G62" s="255"/>
      <c r="H62" s="258"/>
      <c r="J62" s="185">
        <f>SUM(C61:C62)</f>
        <v>240821</v>
      </c>
    </row>
    <row r="63" spans="1:10" s="31" customFormat="1" ht="14.25" customHeight="1" x14ac:dyDescent="0.2">
      <c r="A63" s="63">
        <v>41</v>
      </c>
      <c r="B63" s="87" t="s">
        <v>70</v>
      </c>
      <c r="C63" s="182">
        <v>26000</v>
      </c>
      <c r="D63" s="182">
        <v>205263</v>
      </c>
      <c r="E63" s="255"/>
      <c r="F63" s="257"/>
      <c r="G63" s="255"/>
      <c r="H63" s="258"/>
    </row>
    <row r="64" spans="1:10" s="31" customFormat="1" ht="14.25" customHeight="1" x14ac:dyDescent="0.2">
      <c r="A64" s="63">
        <v>42</v>
      </c>
      <c r="B64" s="87" t="s">
        <v>71</v>
      </c>
      <c r="C64" s="182">
        <f>800+2930+2150</f>
        <v>5880</v>
      </c>
      <c r="D64" s="182">
        <v>560</v>
      </c>
      <c r="E64" s="255"/>
      <c r="F64" s="257"/>
      <c r="G64" s="255"/>
      <c r="H64" s="258"/>
    </row>
    <row r="65" spans="1:8" s="31" customFormat="1" ht="14.25" customHeight="1" x14ac:dyDescent="0.2">
      <c r="A65" s="63">
        <v>43</v>
      </c>
      <c r="B65" s="87" t="s">
        <v>73</v>
      </c>
      <c r="C65" s="165">
        <f>542015-800-2930-2150</f>
        <v>536135</v>
      </c>
      <c r="D65" s="165">
        <v>0</v>
      </c>
      <c r="E65" s="255"/>
      <c r="F65" s="257"/>
      <c r="G65" s="255"/>
      <c r="H65" s="259"/>
    </row>
    <row r="66" spans="1:8" s="31" customFormat="1" ht="14.25" customHeight="1" x14ac:dyDescent="0.2">
      <c r="A66" s="63">
        <v>44</v>
      </c>
      <c r="B66" s="87" t="s">
        <v>72</v>
      </c>
      <c r="C66" s="164">
        <v>37279</v>
      </c>
      <c r="D66" s="164">
        <v>23605</v>
      </c>
      <c r="E66" s="88">
        <v>23605</v>
      </c>
      <c r="F66" s="79">
        <f>E66/D66*100</f>
        <v>100</v>
      </c>
      <c r="G66" s="88">
        <v>23605</v>
      </c>
      <c r="H66" s="79">
        <f>G66/E66*100</f>
        <v>100</v>
      </c>
    </row>
    <row r="67" spans="1:8" s="8" customFormat="1" ht="14.25" hidden="1" customHeight="1" x14ac:dyDescent="0.2">
      <c r="A67" s="62">
        <v>33</v>
      </c>
      <c r="B67" s="56" t="s">
        <v>23</v>
      </c>
      <c r="C67" s="166"/>
      <c r="D67" s="166"/>
      <c r="E67" s="57"/>
      <c r="F67" s="27"/>
      <c r="G67" s="57"/>
      <c r="H67" s="27"/>
    </row>
    <row r="68" spans="1:8" s="8" customFormat="1" ht="14.25" hidden="1" customHeight="1" x14ac:dyDescent="0.2">
      <c r="A68" s="63">
        <v>34</v>
      </c>
      <c r="B68" s="56" t="s">
        <v>24</v>
      </c>
      <c r="C68" s="166"/>
      <c r="D68" s="166"/>
      <c r="E68" s="57"/>
      <c r="F68" s="70"/>
      <c r="G68" s="57"/>
      <c r="H68" s="27"/>
    </row>
    <row r="69" spans="1:8" s="8" customFormat="1" ht="14.25" hidden="1" customHeight="1" x14ac:dyDescent="0.2">
      <c r="A69" s="62">
        <v>35</v>
      </c>
      <c r="B69" s="56" t="s">
        <v>25</v>
      </c>
      <c r="C69" s="166"/>
      <c r="D69" s="166"/>
      <c r="E69" s="73"/>
      <c r="F69" s="71"/>
      <c r="G69" s="59"/>
      <c r="H69" s="60"/>
    </row>
    <row r="70" spans="1:8" s="8" customFormat="1" ht="14.25" hidden="1" customHeight="1" x14ac:dyDescent="0.2">
      <c r="A70" s="63">
        <v>36</v>
      </c>
      <c r="B70" s="56" t="s">
        <v>26</v>
      </c>
      <c r="C70" s="166"/>
      <c r="D70" s="166"/>
      <c r="E70" s="73"/>
      <c r="F70" s="71"/>
      <c r="G70" s="58"/>
      <c r="H70" s="27"/>
    </row>
    <row r="71" spans="1:8" s="8" customFormat="1" ht="14.25" hidden="1" customHeight="1" x14ac:dyDescent="0.2">
      <c r="A71" s="62">
        <v>37</v>
      </c>
      <c r="B71" s="56" t="s">
        <v>36</v>
      </c>
      <c r="C71" s="166"/>
      <c r="D71" s="166"/>
      <c r="E71" s="74">
        <v>30435</v>
      </c>
      <c r="F71" s="72"/>
      <c r="G71" s="69">
        <v>30435</v>
      </c>
      <c r="H71" s="27"/>
    </row>
    <row r="72" spans="1:8" s="8" customFormat="1" ht="14.25" hidden="1" customHeight="1" x14ac:dyDescent="0.2">
      <c r="A72" s="63">
        <v>38</v>
      </c>
      <c r="B72" s="56" t="s">
        <v>27</v>
      </c>
      <c r="C72" s="166"/>
      <c r="D72" s="166"/>
      <c r="E72" s="57"/>
      <c r="F72" s="27"/>
      <c r="G72" s="57"/>
      <c r="H72" s="27"/>
    </row>
    <row r="73" spans="1:8" s="8" customFormat="1" ht="14.25" hidden="1" customHeight="1" x14ac:dyDescent="0.2">
      <c r="A73" s="62">
        <v>39</v>
      </c>
      <c r="B73" s="56" t="s">
        <v>31</v>
      </c>
      <c r="C73" s="166"/>
      <c r="D73" s="166"/>
      <c r="E73" s="29">
        <v>26826</v>
      </c>
      <c r="F73" s="27" t="e">
        <f>E73/C73*100</f>
        <v>#DIV/0!</v>
      </c>
      <c r="G73" s="29">
        <v>26826</v>
      </c>
      <c r="H73" s="27">
        <f>G73/E73*100</f>
        <v>100</v>
      </c>
    </row>
    <row r="74" spans="1:8" s="8" customFormat="1" ht="14.25" hidden="1" customHeight="1" x14ac:dyDescent="0.2">
      <c r="A74" s="63">
        <v>40</v>
      </c>
      <c r="B74" s="56" t="s">
        <v>28</v>
      </c>
      <c r="C74" s="166"/>
      <c r="D74" s="166"/>
      <c r="E74" s="29"/>
      <c r="F74" s="27" t="e">
        <f>E74/C74*100</f>
        <v>#DIV/0!</v>
      </c>
      <c r="G74" s="29"/>
      <c r="H74" s="27"/>
    </row>
    <row r="75" spans="1:8" s="31" customFormat="1" ht="14.25" customHeight="1" thickBot="1" x14ac:dyDescent="0.25">
      <c r="A75" s="63">
        <v>45</v>
      </c>
      <c r="B75" s="87" t="s">
        <v>74</v>
      </c>
      <c r="C75" s="164">
        <v>0</v>
      </c>
      <c r="D75" s="164">
        <v>400000</v>
      </c>
      <c r="E75" s="88"/>
      <c r="F75" s="79"/>
      <c r="G75" s="88"/>
      <c r="H75" s="79"/>
    </row>
    <row r="76" spans="1:8" s="37" customFormat="1" ht="26.25" customHeight="1" thickTop="1" thickBot="1" x14ac:dyDescent="0.25">
      <c r="A76" s="65">
        <v>46</v>
      </c>
      <c r="B76" s="38" t="s">
        <v>6</v>
      </c>
      <c r="C76" s="39">
        <f>SUM(C40,C51,C57:C60)</f>
        <v>4288688</v>
      </c>
      <c r="D76" s="39">
        <f>SUM(D40,D51,D57:D60)</f>
        <v>4630030</v>
      </c>
      <c r="E76" s="39">
        <f>SUM(E40,E51,E57:E60)</f>
        <v>4360449.9800000004</v>
      </c>
      <c r="F76" s="52">
        <f>E76/D76*100</f>
        <v>94.17757509130611</v>
      </c>
      <c r="G76" s="39">
        <f>SUM(G40,G51,G57:G60)</f>
        <v>4450091.4595999997</v>
      </c>
      <c r="H76" s="52">
        <f>G76/E76*100</f>
        <v>102.05578506831074</v>
      </c>
    </row>
    <row r="77" spans="1:8" s="13" customFormat="1" ht="13.5" hidden="1" customHeight="1" thickTop="1" x14ac:dyDescent="0.2">
      <c r="B77" s="9"/>
      <c r="C77" s="11" t="e">
        <f>-SUM(#REF!)</f>
        <v>#REF!</v>
      </c>
      <c r="D77" s="167"/>
      <c r="E77" s="11">
        <f>-SUM(E95)</f>
        <v>253157</v>
      </c>
      <c r="F77" s="33">
        <f>-SUM(F95)</f>
        <v>-99.999209982659124</v>
      </c>
      <c r="G77" s="11">
        <f>-SUM(G95)</f>
        <v>253157</v>
      </c>
      <c r="H77" s="33">
        <f>-SUM(H95)</f>
        <v>-100</v>
      </c>
    </row>
    <row r="78" spans="1:8" s="23" customFormat="1" ht="13.5" hidden="1" customHeight="1" x14ac:dyDescent="0.2">
      <c r="B78" s="22"/>
      <c r="C78" s="19" t="e">
        <f>SUM(C77:C77)</f>
        <v>#REF!</v>
      </c>
      <c r="D78" s="167"/>
      <c r="E78" s="19">
        <f>SUM(E76:E77)</f>
        <v>4613606.9800000004</v>
      </c>
      <c r="F78" s="34">
        <f>SUM(F76:F77)</f>
        <v>-5.821634891353014</v>
      </c>
      <c r="G78" s="19">
        <f>SUM(G76:G77)</f>
        <v>4703248.4595999997</v>
      </c>
      <c r="H78" s="34">
        <f>SUM(H76:H77)</f>
        <v>2.0557850683107404</v>
      </c>
    </row>
    <row r="79" spans="1:8" s="23" customFormat="1" ht="13.5" hidden="1" customHeight="1" x14ac:dyDescent="0.2">
      <c r="B79" s="22"/>
      <c r="C79" s="19" t="e">
        <f>-SUM(#REF!)</f>
        <v>#REF!</v>
      </c>
      <c r="D79" s="167"/>
      <c r="E79" s="19" t="e">
        <f>-SUM(#REF!)</f>
        <v>#REF!</v>
      </c>
      <c r="F79" s="34" t="e">
        <f>-SUM(#REF!)</f>
        <v>#REF!</v>
      </c>
      <c r="G79" s="19" t="e">
        <f>-SUM(#REF!)</f>
        <v>#REF!</v>
      </c>
      <c r="H79" s="19" t="e">
        <f>-SUM(#REF!)</f>
        <v>#REF!</v>
      </c>
    </row>
    <row r="80" spans="1:8" s="20" customFormat="1" ht="13.5" hidden="1" customHeight="1" x14ac:dyDescent="0.2">
      <c r="B80" s="22"/>
      <c r="C80" s="19" t="e">
        <f t="shared" ref="C80:H80" si="13">SUM(C78:C79)</f>
        <v>#REF!</v>
      </c>
      <c r="D80" s="167"/>
      <c r="E80" s="19" t="e">
        <f t="shared" si="13"/>
        <v>#REF!</v>
      </c>
      <c r="F80" s="34" t="e">
        <f t="shared" si="13"/>
        <v>#REF!</v>
      </c>
      <c r="G80" s="19" t="e">
        <f t="shared" si="13"/>
        <v>#REF!</v>
      </c>
      <c r="H80" s="19" t="e">
        <f t="shared" si="13"/>
        <v>#REF!</v>
      </c>
    </row>
    <row r="81" spans="1:11" s="20" customFormat="1" ht="13.5" hidden="1" customHeight="1" x14ac:dyDescent="0.2">
      <c r="B81" s="22"/>
      <c r="C81" s="19" t="e">
        <f>-SUM(#REF!)</f>
        <v>#REF!</v>
      </c>
      <c r="D81" s="167"/>
      <c r="E81" s="19" t="e">
        <f>-SUM(#REF!)</f>
        <v>#REF!</v>
      </c>
      <c r="F81" s="19" t="e">
        <f>-SUM(#REF!)</f>
        <v>#REF!</v>
      </c>
      <c r="G81" s="19" t="e">
        <f>-SUM(#REF!)</f>
        <v>#REF!</v>
      </c>
      <c r="H81" s="19" t="e">
        <f>-SUM(#REF!)</f>
        <v>#REF!</v>
      </c>
    </row>
    <row r="82" spans="1:11" s="20" customFormat="1" ht="13.5" hidden="1" customHeight="1" x14ac:dyDescent="0.2">
      <c r="B82" s="22"/>
      <c r="C82" s="19" t="e">
        <f>-SUM(#REF!)</f>
        <v>#REF!</v>
      </c>
      <c r="D82" s="167"/>
      <c r="E82" s="19" t="e">
        <f>-SUM(E66:E66)-#REF!</f>
        <v>#REF!</v>
      </c>
      <c r="F82" s="19" t="e">
        <f>-SUM(F66:F66)-#REF!</f>
        <v>#REF!</v>
      </c>
      <c r="G82" s="19" t="e">
        <f>-SUM(G66:G66)-#REF!</f>
        <v>#REF!</v>
      </c>
      <c r="H82" s="19" t="e">
        <f>-SUM(H66:H66)-#REF!</f>
        <v>#REF!</v>
      </c>
    </row>
    <row r="83" spans="1:11" s="25" customFormat="1" ht="13.5" hidden="1" customHeight="1" x14ac:dyDescent="0.2">
      <c r="B83" s="24"/>
      <c r="C83" s="18" t="e">
        <f>SUM(C80:C82)</f>
        <v>#REF!</v>
      </c>
      <c r="D83" s="167"/>
      <c r="E83" s="18" t="e">
        <f>SUM(E80:E82)</f>
        <v>#REF!</v>
      </c>
      <c r="F83" s="35" t="e">
        <f>SUM(F80:F81)</f>
        <v>#REF!</v>
      </c>
      <c r="G83" s="18" t="e">
        <f>SUM(G80:G82)-G97</f>
        <v>#REF!</v>
      </c>
      <c r="H83" s="18" t="e">
        <f>SUM(H80:H82)-H97</f>
        <v>#REF!</v>
      </c>
    </row>
    <row r="84" spans="1:11" s="4" customFormat="1" ht="15.75" thickTop="1" thickBot="1" x14ac:dyDescent="0.25">
      <c r="A84" s="218">
        <v>47</v>
      </c>
      <c r="B84" s="207" t="s">
        <v>60</v>
      </c>
      <c r="C84" s="197">
        <v>-8083</v>
      </c>
      <c r="D84" s="197">
        <v>-8240</v>
      </c>
      <c r="E84" s="216">
        <v>-8240</v>
      </c>
      <c r="F84" s="220">
        <f>E84/D84*100</f>
        <v>100</v>
      </c>
      <c r="G84" s="216">
        <v>-8240</v>
      </c>
      <c r="H84" s="79">
        <f>G84/E84*100</f>
        <v>100</v>
      </c>
    </row>
    <row r="85" spans="1:11" s="4" customFormat="1" ht="24.75" customHeight="1" thickTop="1" thickBot="1" x14ac:dyDescent="0.3">
      <c r="A85" s="219">
        <v>48</v>
      </c>
      <c r="B85" s="208" t="s">
        <v>62</v>
      </c>
      <c r="C85" s="209">
        <f>C76+C84</f>
        <v>4280605</v>
      </c>
      <c r="D85" s="210">
        <f>D76+D84</f>
        <v>4621790</v>
      </c>
      <c r="E85" s="217">
        <f>E76+E84</f>
        <v>4352209.9800000004</v>
      </c>
      <c r="F85" s="211">
        <f>E85/D85*100</f>
        <v>94.167194528526835</v>
      </c>
      <c r="G85" s="217">
        <f>G76+G84</f>
        <v>4441851.4595999997</v>
      </c>
      <c r="H85" s="211">
        <f>G85/E85*100</f>
        <v>102.0596772676855</v>
      </c>
    </row>
    <row r="86" spans="1:11" s="25" customFormat="1" ht="13.5" customHeight="1" thickTop="1" x14ac:dyDescent="0.2">
      <c r="B86" s="24"/>
      <c r="C86" s="18"/>
      <c r="D86" s="167"/>
      <c r="E86" s="18"/>
      <c r="F86" s="35"/>
      <c r="G86" s="18"/>
      <c r="H86" s="18"/>
    </row>
    <row r="87" spans="1:11" s="7" customFormat="1" ht="13.5" customHeight="1" thickBot="1" x14ac:dyDescent="0.25">
      <c r="B87" s="9"/>
      <c r="C87" s="10"/>
      <c r="D87" s="167"/>
      <c r="E87" s="11"/>
      <c r="F87" s="12"/>
      <c r="G87" s="10"/>
      <c r="H87" s="12"/>
    </row>
    <row r="88" spans="1:11" s="31" customFormat="1" ht="17.100000000000001" customHeight="1" thickBot="1" x14ac:dyDescent="0.25">
      <c r="A88" s="135">
        <v>49</v>
      </c>
      <c r="B88" s="136" t="s">
        <v>8</v>
      </c>
      <c r="C88" s="137">
        <f>SUM(C33)</f>
        <v>4259792</v>
      </c>
      <c r="D88" s="137">
        <f>SUM(D33)</f>
        <v>4554855</v>
      </c>
      <c r="E88" s="137">
        <f>SUM(E33)</f>
        <v>4605367</v>
      </c>
      <c r="F88" s="138">
        <f>E88/D88*100</f>
        <v>101.10897053803029</v>
      </c>
      <c r="G88" s="137">
        <f>SUM(G33)</f>
        <v>4695008</v>
      </c>
      <c r="H88" s="139">
        <f>G88/E88*100</f>
        <v>101.94644639612869</v>
      </c>
    </row>
    <row r="89" spans="1:11" s="31" customFormat="1" ht="17.100000000000001" hidden="1" customHeight="1" thickTop="1" thickBot="1" x14ac:dyDescent="0.25">
      <c r="A89" s="140">
        <v>24</v>
      </c>
      <c r="B89" s="67" t="s">
        <v>7</v>
      </c>
      <c r="C89" s="168"/>
      <c r="D89" s="168"/>
      <c r="E89" s="46">
        <f>E24-E76</f>
        <v>253157.01999999955</v>
      </c>
      <c r="F89" s="47" t="e">
        <f>E89/C89*100</f>
        <v>#DIV/0!</v>
      </c>
      <c r="G89" s="46">
        <f>G24-G76</f>
        <v>253156.54040000029</v>
      </c>
      <c r="H89" s="141">
        <f>G89/E89*100</f>
        <v>99.999810552360245</v>
      </c>
    </row>
    <row r="90" spans="1:11" s="31" customFormat="1" ht="17.100000000000001" customHeight="1" thickTop="1" thickBot="1" x14ac:dyDescent="0.25">
      <c r="A90" s="140">
        <v>50</v>
      </c>
      <c r="B90" s="66" t="s">
        <v>6</v>
      </c>
      <c r="C90" s="44">
        <f>C85</f>
        <v>4280605</v>
      </c>
      <c r="D90" s="44">
        <f>D85</f>
        <v>4621790</v>
      </c>
      <c r="E90" s="44">
        <f>E85</f>
        <v>4352209.9800000004</v>
      </c>
      <c r="F90" s="45">
        <f>E90/D90*100</f>
        <v>94.167194528526835</v>
      </c>
      <c r="G90" s="44">
        <f>SUM(G85)</f>
        <v>4441851.4595999997</v>
      </c>
      <c r="H90" s="142">
        <f>G90/E90*100</f>
        <v>102.0596772676855</v>
      </c>
      <c r="K90" s="185"/>
    </row>
    <row r="91" spans="1:11" s="31" customFormat="1" ht="16.5" customHeight="1" thickTop="1" thickBot="1" x14ac:dyDescent="0.25">
      <c r="A91" s="143">
        <v>51</v>
      </c>
      <c r="B91" s="108" t="s">
        <v>9</v>
      </c>
      <c r="C91" s="169">
        <f>SUM(C92,C93,C95)</f>
        <v>20813</v>
      </c>
      <c r="D91" s="169">
        <f>SUM(D92,D93,D95)</f>
        <v>66935</v>
      </c>
      <c r="E91" s="109">
        <f>SUM(E93,E95)</f>
        <v>-253157</v>
      </c>
      <c r="F91" s="225">
        <f>-E91/D91*100</f>
        <v>378.21319190259209</v>
      </c>
      <c r="G91" s="109">
        <f>SUM(G92:G93,G95)</f>
        <v>-253157</v>
      </c>
      <c r="H91" s="141">
        <f>G91/E91*100</f>
        <v>100</v>
      </c>
      <c r="I91" s="185"/>
    </row>
    <row r="92" spans="1:11" s="97" customFormat="1" ht="38.25" customHeight="1" thickTop="1" x14ac:dyDescent="0.25">
      <c r="A92" s="144">
        <v>52</v>
      </c>
      <c r="B92" s="100" t="s">
        <v>30</v>
      </c>
      <c r="C92" s="170">
        <v>219400</v>
      </c>
      <c r="D92" s="170">
        <v>247878</v>
      </c>
      <c r="E92" s="101">
        <v>0</v>
      </c>
      <c r="F92" s="104">
        <f>E92/D92*100</f>
        <v>0</v>
      </c>
      <c r="G92" s="101">
        <v>0</v>
      </c>
      <c r="H92" s="145">
        <v>0</v>
      </c>
    </row>
    <row r="93" spans="1:11" s="105" customFormat="1" ht="18" customHeight="1" x14ac:dyDescent="0.25">
      <c r="A93" s="146">
        <v>53</v>
      </c>
      <c r="B93" s="102" t="s">
        <v>29</v>
      </c>
      <c r="C93" s="171">
        <f>SUM(C94)</f>
        <v>26000</v>
      </c>
      <c r="D93" s="171">
        <f>SUM(D94)</f>
        <v>72216</v>
      </c>
      <c r="E93" s="103">
        <f>SUM(E94:E94)</f>
        <v>0</v>
      </c>
      <c r="F93" s="104">
        <v>0</v>
      </c>
      <c r="G93" s="103">
        <f>SUM(G94:G94)</f>
        <v>0</v>
      </c>
      <c r="H93" s="145">
        <v>0</v>
      </c>
    </row>
    <row r="94" spans="1:11" s="16" customFormat="1" ht="18" customHeight="1" x14ac:dyDescent="0.2">
      <c r="A94" s="147">
        <v>54</v>
      </c>
      <c r="B94" s="68" t="s">
        <v>64</v>
      </c>
      <c r="C94" s="172">
        <v>26000</v>
      </c>
      <c r="D94" s="172">
        <v>72216</v>
      </c>
      <c r="E94" s="41">
        <v>0</v>
      </c>
      <c r="F94" s="42">
        <v>0</v>
      </c>
      <c r="G94" s="41">
        <v>0</v>
      </c>
      <c r="H94" s="148">
        <v>0</v>
      </c>
    </row>
    <row r="95" spans="1:11" s="105" customFormat="1" ht="18" customHeight="1" x14ac:dyDescent="0.25">
      <c r="A95" s="150">
        <v>55</v>
      </c>
      <c r="B95" s="106" t="s">
        <v>40</v>
      </c>
      <c r="C95" s="173">
        <f>SUM(C96:C111)</f>
        <v>-224587</v>
      </c>
      <c r="D95" s="173">
        <f>SUM(D96:D111)</f>
        <v>-253159</v>
      </c>
      <c r="E95" s="107">
        <f>SUM(E96,E97,E111)</f>
        <v>-253157</v>
      </c>
      <c r="F95" s="104">
        <f t="shared" ref="F95:F111" si="14">E95/D95*100</f>
        <v>99.999209982659124</v>
      </c>
      <c r="G95" s="107">
        <f>SUM(G96,G97,G111)</f>
        <v>-253157</v>
      </c>
      <c r="H95" s="145">
        <f>G95/E95*100</f>
        <v>100</v>
      </c>
    </row>
    <row r="96" spans="1:11" ht="18" customHeight="1" x14ac:dyDescent="0.2">
      <c r="A96" s="149">
        <v>56</v>
      </c>
      <c r="B96" s="68" t="s">
        <v>43</v>
      </c>
      <c r="C96" s="174">
        <v>-43634</v>
      </c>
      <c r="D96" s="174">
        <v>-43634</v>
      </c>
      <c r="E96" s="43">
        <v>-43633</v>
      </c>
      <c r="F96" s="27">
        <f t="shared" si="14"/>
        <v>99.99770820919467</v>
      </c>
      <c r="G96" s="43">
        <v>-43633</v>
      </c>
      <c r="H96" s="151">
        <f>G96/E96*100</f>
        <v>100</v>
      </c>
    </row>
    <row r="97" spans="1:11" ht="18" customHeight="1" x14ac:dyDescent="0.2">
      <c r="A97" s="147">
        <v>57</v>
      </c>
      <c r="B97" s="77" t="s">
        <v>41</v>
      </c>
      <c r="C97" s="172">
        <v>-114286</v>
      </c>
      <c r="D97" s="172">
        <v>-142858</v>
      </c>
      <c r="E97" s="41">
        <v>-142857</v>
      </c>
      <c r="F97" s="27">
        <f t="shared" si="14"/>
        <v>99.999300004199981</v>
      </c>
      <c r="G97" s="41">
        <v>-142857</v>
      </c>
      <c r="H97" s="151">
        <f>G97/E97*100</f>
        <v>100</v>
      </c>
    </row>
    <row r="98" spans="1:11" s="40" customFormat="1" ht="14.25" hidden="1" x14ac:dyDescent="0.2">
      <c r="A98" s="149">
        <v>54</v>
      </c>
      <c r="B98" s="115"/>
      <c r="C98" s="175"/>
      <c r="D98" s="175"/>
      <c r="E98" s="116"/>
      <c r="F98" s="27" t="e">
        <f t="shared" si="14"/>
        <v>#DIV/0!</v>
      </c>
      <c r="G98" s="116"/>
      <c r="H98" s="151" t="e">
        <f t="shared" ref="H98:H110" si="15">G98/C98*100</f>
        <v>#DIV/0!</v>
      </c>
    </row>
    <row r="99" spans="1:11" s="40" customFormat="1" ht="14.25" hidden="1" x14ac:dyDescent="0.2">
      <c r="A99" s="147">
        <v>55</v>
      </c>
      <c r="B99" s="115"/>
      <c r="C99" s="175"/>
      <c r="D99" s="175"/>
      <c r="E99" s="116"/>
      <c r="F99" s="27" t="e">
        <f t="shared" si="14"/>
        <v>#DIV/0!</v>
      </c>
      <c r="G99" s="116"/>
      <c r="H99" s="151" t="e">
        <f t="shared" si="15"/>
        <v>#DIV/0!</v>
      </c>
    </row>
    <row r="100" spans="1:11" ht="14.25" hidden="1" x14ac:dyDescent="0.2">
      <c r="A100" s="149">
        <v>56</v>
      </c>
      <c r="B100" s="117"/>
      <c r="C100" s="176"/>
      <c r="D100" s="176"/>
      <c r="E100" s="118"/>
      <c r="F100" s="27" t="e">
        <f t="shared" si="14"/>
        <v>#DIV/0!</v>
      </c>
      <c r="G100" s="118"/>
      <c r="H100" s="151" t="e">
        <f t="shared" si="15"/>
        <v>#DIV/0!</v>
      </c>
    </row>
    <row r="101" spans="1:11" s="48" customFormat="1" ht="14.25" hidden="1" x14ac:dyDescent="0.2">
      <c r="A101" s="147">
        <v>57</v>
      </c>
      <c r="B101" s="119"/>
      <c r="C101" s="175"/>
      <c r="D101" s="175"/>
      <c r="E101" s="120"/>
      <c r="F101" s="27" t="e">
        <f t="shared" si="14"/>
        <v>#DIV/0!</v>
      </c>
      <c r="G101" s="120"/>
      <c r="H101" s="151" t="e">
        <f t="shared" si="15"/>
        <v>#DIV/0!</v>
      </c>
    </row>
    <row r="102" spans="1:11" s="49" customFormat="1" ht="14.25" hidden="1" x14ac:dyDescent="0.2">
      <c r="A102" s="149">
        <v>58</v>
      </c>
      <c r="B102" s="121"/>
      <c r="C102" s="175"/>
      <c r="D102" s="175"/>
      <c r="E102" s="122"/>
      <c r="F102" s="27" t="e">
        <f t="shared" si="14"/>
        <v>#DIV/0!</v>
      </c>
      <c r="G102" s="122"/>
      <c r="H102" s="151" t="e">
        <f t="shared" si="15"/>
        <v>#DIV/0!</v>
      </c>
    </row>
    <row r="103" spans="1:11" s="4" customFormat="1" ht="14.25" hidden="1" x14ac:dyDescent="0.2">
      <c r="A103" s="147">
        <v>59</v>
      </c>
      <c r="B103" s="123"/>
      <c r="C103" s="175"/>
      <c r="D103" s="175"/>
      <c r="E103" s="124"/>
      <c r="F103" s="27" t="e">
        <f t="shared" si="14"/>
        <v>#DIV/0!</v>
      </c>
      <c r="G103" s="124"/>
      <c r="H103" s="151" t="e">
        <f t="shared" si="15"/>
        <v>#DIV/0!</v>
      </c>
    </row>
    <row r="104" spans="1:11" s="50" customFormat="1" ht="14.25" hidden="1" x14ac:dyDescent="0.2">
      <c r="A104" s="149">
        <v>60</v>
      </c>
      <c r="B104" s="125"/>
      <c r="C104" s="177"/>
      <c r="D104" s="177"/>
      <c r="E104" s="126"/>
      <c r="F104" s="27" t="e">
        <f t="shared" si="14"/>
        <v>#DIV/0!</v>
      </c>
      <c r="G104" s="126"/>
      <c r="H104" s="151" t="e">
        <f t="shared" si="15"/>
        <v>#DIV/0!</v>
      </c>
    </row>
    <row r="105" spans="1:11" s="4" customFormat="1" ht="14.25" hidden="1" x14ac:dyDescent="0.2">
      <c r="A105" s="147">
        <v>61</v>
      </c>
      <c r="B105" s="123"/>
      <c r="C105" s="175"/>
      <c r="D105" s="175"/>
      <c r="E105" s="124"/>
      <c r="F105" s="27" t="e">
        <f t="shared" si="14"/>
        <v>#DIV/0!</v>
      </c>
      <c r="G105" s="124"/>
      <c r="H105" s="151" t="e">
        <f t="shared" si="15"/>
        <v>#DIV/0!</v>
      </c>
    </row>
    <row r="106" spans="1:11" s="51" customFormat="1" ht="14.25" hidden="1" x14ac:dyDescent="0.2">
      <c r="A106" s="149">
        <v>62</v>
      </c>
      <c r="B106" s="127"/>
      <c r="C106" s="178"/>
      <c r="D106" s="178"/>
      <c r="E106" s="128"/>
      <c r="F106" s="27" t="e">
        <f t="shared" si="14"/>
        <v>#DIV/0!</v>
      </c>
      <c r="G106" s="128"/>
      <c r="H106" s="151" t="e">
        <f t="shared" si="15"/>
        <v>#DIV/0!</v>
      </c>
    </row>
    <row r="107" spans="1:11" s="4" customFormat="1" ht="14.25" hidden="1" x14ac:dyDescent="0.2">
      <c r="A107" s="147">
        <v>63</v>
      </c>
      <c r="B107" s="123"/>
      <c r="C107" s="175"/>
      <c r="D107" s="175"/>
      <c r="E107" s="124"/>
      <c r="F107" s="27" t="e">
        <f t="shared" si="14"/>
        <v>#DIV/0!</v>
      </c>
      <c r="G107" s="124"/>
      <c r="H107" s="151" t="e">
        <f t="shared" si="15"/>
        <v>#DIV/0!</v>
      </c>
    </row>
    <row r="108" spans="1:11" s="4" customFormat="1" ht="14.25" hidden="1" x14ac:dyDescent="0.2">
      <c r="A108" s="149">
        <v>64</v>
      </c>
      <c r="B108" s="123"/>
      <c r="C108" s="175"/>
      <c r="D108" s="175"/>
      <c r="E108" s="124"/>
      <c r="F108" s="27" t="e">
        <f t="shared" si="14"/>
        <v>#DIV/0!</v>
      </c>
      <c r="G108" s="124"/>
      <c r="H108" s="151" t="e">
        <f t="shared" si="15"/>
        <v>#DIV/0!</v>
      </c>
    </row>
    <row r="109" spans="1:11" s="4" customFormat="1" ht="14.25" hidden="1" x14ac:dyDescent="0.2">
      <c r="A109" s="147">
        <v>65</v>
      </c>
      <c r="B109" s="123"/>
      <c r="C109" s="175"/>
      <c r="D109" s="175"/>
      <c r="E109" s="124"/>
      <c r="F109" s="27" t="e">
        <f t="shared" si="14"/>
        <v>#DIV/0!</v>
      </c>
      <c r="G109" s="124"/>
      <c r="H109" s="151" t="e">
        <f t="shared" si="15"/>
        <v>#DIV/0!</v>
      </c>
    </row>
    <row r="110" spans="1:11" ht="14.25" hidden="1" x14ac:dyDescent="0.2">
      <c r="A110" s="149">
        <v>66</v>
      </c>
      <c r="B110" s="117"/>
      <c r="C110" s="176"/>
      <c r="D110" s="176"/>
      <c r="E110" s="118"/>
      <c r="F110" s="27" t="e">
        <f t="shared" si="14"/>
        <v>#DIV/0!</v>
      </c>
      <c r="G110" s="124"/>
      <c r="H110" s="151" t="e">
        <f t="shared" si="15"/>
        <v>#DIV/0!</v>
      </c>
    </row>
    <row r="111" spans="1:11" ht="18" customHeight="1" thickBot="1" x14ac:dyDescent="0.25">
      <c r="A111" s="152">
        <v>58</v>
      </c>
      <c r="B111" s="153" t="s">
        <v>48</v>
      </c>
      <c r="C111" s="179">
        <v>-66667</v>
      </c>
      <c r="D111" s="179">
        <v>-66667</v>
      </c>
      <c r="E111" s="154">
        <v>-66667</v>
      </c>
      <c r="F111" s="221">
        <f t="shared" si="14"/>
        <v>100</v>
      </c>
      <c r="G111" s="154">
        <v>-66667</v>
      </c>
      <c r="H111" s="155">
        <f>G111/E111*100</f>
        <v>100</v>
      </c>
    </row>
    <row r="112" spans="1:11" x14ac:dyDescent="0.2">
      <c r="A112" s="238"/>
      <c r="B112" s="238"/>
      <c r="C112" s="110">
        <f>C88+C92+C93</f>
        <v>4505192</v>
      </c>
      <c r="D112" s="110">
        <f>D88+D92+D93</f>
        <v>4874949</v>
      </c>
      <c r="E112" s="110">
        <f>E33+E92+E93</f>
        <v>4605367</v>
      </c>
      <c r="F112" s="110"/>
      <c r="G112" s="110">
        <f>G33+G92+G93</f>
        <v>4695008</v>
      </c>
      <c r="H112" s="110"/>
      <c r="I112" s="112"/>
      <c r="J112" s="112"/>
      <c r="K112" s="61"/>
    </row>
    <row r="113" spans="1:11" x14ac:dyDescent="0.2">
      <c r="A113" s="134"/>
      <c r="B113" s="134"/>
      <c r="C113" s="110">
        <f>C90-C95</f>
        <v>4505192</v>
      </c>
      <c r="D113" s="110">
        <f>D90-D95</f>
        <v>4874949</v>
      </c>
      <c r="E113" s="110">
        <f>E85-E95</f>
        <v>4605366.9800000004</v>
      </c>
      <c r="F113" s="110"/>
      <c r="G113" s="110">
        <f t="shared" ref="G113" si="16">G85-G95</f>
        <v>4695008.4595999997</v>
      </c>
      <c r="H113" s="110"/>
      <c r="I113" s="112"/>
      <c r="J113" s="112"/>
      <c r="K113" s="61"/>
    </row>
    <row r="114" spans="1:11" x14ac:dyDescent="0.2">
      <c r="A114" s="75"/>
      <c r="B114" s="113"/>
      <c r="D114" s="181"/>
      <c r="E114" s="129"/>
      <c r="F114" s="129"/>
      <c r="H114" s="133"/>
      <c r="I114" s="112"/>
      <c r="J114" s="112"/>
      <c r="K114" s="61"/>
    </row>
    <row r="115" spans="1:11" x14ac:dyDescent="0.2">
      <c r="B115" s="114"/>
      <c r="C115" s="130"/>
      <c r="D115" s="130">
        <f>D112-D113</f>
        <v>0</v>
      </c>
      <c r="E115" s="130">
        <f>E112-E113</f>
        <v>1.9999999552965164E-2</v>
      </c>
      <c r="F115" s="130"/>
      <c r="G115" s="129">
        <f>G112-G113</f>
        <v>-0.45959999971091747</v>
      </c>
      <c r="H115" s="133"/>
      <c r="I115" s="112"/>
      <c r="J115" s="112"/>
      <c r="K115" s="61"/>
    </row>
    <row r="116" spans="1:11" x14ac:dyDescent="0.2">
      <c r="B116" s="114"/>
      <c r="C116" s="129">
        <f>C90-C88</f>
        <v>20813</v>
      </c>
      <c r="D116" s="129">
        <f>D90-D88</f>
        <v>66935</v>
      </c>
      <c r="E116" s="129">
        <f>E90-E88</f>
        <v>-253157.01999999955</v>
      </c>
      <c r="F116" s="129"/>
      <c r="G116" s="129">
        <f>G90-G88</f>
        <v>-253156.54040000029</v>
      </c>
      <c r="H116" s="129"/>
      <c r="I116" s="112"/>
      <c r="J116" s="112"/>
      <c r="K116" s="61"/>
    </row>
    <row r="117" spans="1:11" x14ac:dyDescent="0.2">
      <c r="B117" s="114"/>
      <c r="C117" s="110"/>
      <c r="E117" s="110"/>
      <c r="F117" s="111"/>
      <c r="G117" s="110"/>
      <c r="H117" s="111"/>
      <c r="I117" s="112"/>
      <c r="J117" s="112"/>
    </row>
    <row r="118" spans="1:11" x14ac:dyDescent="0.2">
      <c r="C118" s="131"/>
      <c r="E118" s="110"/>
      <c r="F118" s="110"/>
      <c r="G118" s="110"/>
      <c r="H118" s="111"/>
      <c r="I118" s="112"/>
      <c r="J118" s="112"/>
    </row>
    <row r="119" spans="1:11" x14ac:dyDescent="0.2">
      <c r="C119" s="2"/>
      <c r="D119" s="2"/>
      <c r="E119" s="2"/>
      <c r="F119" s="2"/>
      <c r="G119" s="2"/>
      <c r="H119" s="2"/>
      <c r="I119" s="129"/>
      <c r="J119" s="112"/>
    </row>
    <row r="120" spans="1:11" x14ac:dyDescent="0.2">
      <c r="C120" s="2"/>
      <c r="D120" s="2"/>
      <c r="E120" s="2"/>
      <c r="F120" s="2"/>
      <c r="G120" s="2"/>
      <c r="H120" s="2"/>
      <c r="I120" s="112"/>
      <c r="J120" s="112"/>
    </row>
    <row r="121" spans="1:11" x14ac:dyDescent="0.2">
      <c r="E121" s="110"/>
      <c r="F121" s="111"/>
      <c r="G121" s="110"/>
      <c r="H121" s="111"/>
      <c r="I121" s="112"/>
    </row>
    <row r="122" spans="1:11" x14ac:dyDescent="0.2">
      <c r="G122" s="110"/>
    </row>
  </sheetData>
  <mergeCells count="23">
    <mergeCell ref="E61:E65"/>
    <mergeCell ref="F61:F65"/>
    <mergeCell ref="G61:G65"/>
    <mergeCell ref="H61:H65"/>
    <mergeCell ref="E3:H3"/>
    <mergeCell ref="G4:G6"/>
    <mergeCell ref="H4:H6"/>
    <mergeCell ref="E4:E6"/>
    <mergeCell ref="F4:F6"/>
    <mergeCell ref="E36:H36"/>
    <mergeCell ref="G37:G39"/>
    <mergeCell ref="H37:H39"/>
    <mergeCell ref="E37:E39"/>
    <mergeCell ref="F37:F39"/>
    <mergeCell ref="D3:D6"/>
    <mergeCell ref="D36:D39"/>
    <mergeCell ref="A112:B112"/>
    <mergeCell ref="B3:B6"/>
    <mergeCell ref="C3:C6"/>
    <mergeCell ref="A3:A6"/>
    <mergeCell ref="A36:A39"/>
    <mergeCell ref="B36:B39"/>
    <mergeCell ref="C36:C39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3" firstPageNumber="7" orientation="portrait" useFirstPageNumber="1" r:id="rId1"/>
  <headerFooter alignWithMargins="0">
    <oddFooter>&amp;L&amp;"Arial,Kurzíva"Zastupitelstvo Olomouckého kraje 27-2-2017
8.4. - Rozpočtový výhled Olomouckého kraje 2018 - 2019
Příloha č. 1: Rozpočtový výhled OK na období 2018-2019.&amp;R&amp;"Arial,Kurzíva"Strana &amp;P (celkem 10)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2016-12-01T09:29:05Z</cp:lastPrinted>
  <dcterms:created xsi:type="dcterms:W3CDTF">2007-01-30T08:08:06Z</dcterms:created>
  <dcterms:modified xsi:type="dcterms:W3CDTF">2017-02-07T07:31:49Z</dcterms:modified>
</cp:coreProperties>
</file>