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bory-Plnička\Rozbory hospodaření - 2022\Plnění rozpočtu k 30. 6. 2022\ZOK - 26.9.2022\"/>
    </mc:Choice>
  </mc:AlternateContent>
  <bookViews>
    <workbookView xWindow="-120" yWindow="-120" windowWidth="29040" windowHeight="16440"/>
  </bookViews>
  <sheets>
    <sheet name="Bilance OK - příloha č.1" sheetId="14" r:id="rId1"/>
    <sheet name="Příjmy OK - příloha č. 2" sheetId="1" r:id="rId2"/>
    <sheet name="Výdaje OK - příloha č. 2" sheetId="2" r:id="rId3"/>
    <sheet name="Financování OK - příloha č. 2" sheetId="10" r:id="rId4"/>
    <sheet name="Rekapitulace OK - příloha č. 2" sheetId="3" r:id="rId5"/>
    <sheet name="Výdaje (2)" sheetId="6" state="hidden" r:id="rId6"/>
    <sheet name="List2" sheetId="4" state="hidden" r:id="rId7"/>
    <sheet name="8115-zap.zůst.k 31.12.2011" sheetId="5" state="hidden" r:id="rId8"/>
    <sheet name="Rekapitulace (2)" sheetId="8" state="hidden" r:id="rId9"/>
    <sheet name="List4" sheetId="9" state="hidden" r:id="rId10"/>
  </sheets>
  <definedNames>
    <definedName name="_xlnm.Print_Area" localSheetId="0">'Bilance OK - příloha č.1'!$A$1:$O$53</definedName>
    <definedName name="_xlnm.Print_Area" localSheetId="3">'Financování OK - příloha č. 2'!$A$1:$E$17</definedName>
    <definedName name="_xlnm.Print_Area" localSheetId="1">'Příjmy OK - příloha č. 2'!$A$1:$E$18</definedName>
    <definedName name="_xlnm.Print_Area" localSheetId="8">'Rekapitulace (2)'!$A$1:$H$66</definedName>
    <definedName name="_xlnm.Print_Area" localSheetId="4">'Rekapitulace OK - příloha č. 2'!$A$1:$H$39</definedName>
    <definedName name="_xlnm.Print_Area" localSheetId="5">'Výdaje (2)'!$A$1:$F$53</definedName>
    <definedName name="_xlnm.Print_Area" localSheetId="2">'Výdaje OK - příloha č. 2'!$A$1:$F$123</definedName>
  </definedNames>
  <calcPr calcId="162913"/>
</workbook>
</file>

<file path=xl/calcChain.xml><?xml version="1.0" encoding="utf-8"?>
<calcChain xmlns="http://schemas.openxmlformats.org/spreadsheetml/2006/main">
  <c r="E16" i="14" l="1"/>
  <c r="E6" i="14" l="1"/>
  <c r="I25" i="14" l="1"/>
  <c r="N25" i="14"/>
  <c r="M25" i="14"/>
  <c r="N26" i="14" l="1"/>
  <c r="C27" i="14"/>
  <c r="M24" i="14"/>
  <c r="M26" i="14"/>
  <c r="B25" i="14"/>
  <c r="G20" i="14"/>
  <c r="G25" i="14"/>
  <c r="D20" i="14"/>
  <c r="C20" i="14"/>
  <c r="N24" i="14" l="1"/>
  <c r="I24" i="14"/>
  <c r="H24" i="14"/>
  <c r="G26" i="14"/>
  <c r="I26" i="14"/>
  <c r="H26" i="14"/>
  <c r="B21" i="14"/>
  <c r="I15" i="14"/>
  <c r="N15" i="14"/>
  <c r="M15" i="14"/>
  <c r="H15" i="14"/>
  <c r="B15" i="14"/>
  <c r="I14" i="14"/>
  <c r="H14" i="14"/>
  <c r="N14" i="14"/>
  <c r="M14" i="14"/>
  <c r="B13" i="14"/>
  <c r="C14" i="14"/>
  <c r="B14" i="14"/>
  <c r="G11" i="14"/>
  <c r="I7" i="14"/>
  <c r="H7" i="14"/>
  <c r="B7" i="14" l="1"/>
  <c r="D118" i="2" l="1"/>
  <c r="E117" i="2"/>
  <c r="D117" i="2"/>
  <c r="C117" i="2"/>
  <c r="E118" i="2"/>
  <c r="D94" i="2"/>
  <c r="E69" i="2"/>
  <c r="D69" i="2"/>
  <c r="C67" i="2"/>
  <c r="E68" i="2"/>
  <c r="E67" i="2" s="1"/>
  <c r="D68" i="2"/>
  <c r="D67" i="2" s="1"/>
  <c r="C68" i="2"/>
  <c r="E106" i="2" l="1"/>
  <c r="F98" i="2"/>
  <c r="C106" i="2"/>
  <c r="D97" i="2"/>
  <c r="E97" i="2"/>
  <c r="C97" i="2"/>
  <c r="E94" i="2"/>
  <c r="D11" i="2"/>
  <c r="E11" i="2"/>
  <c r="E85" i="2"/>
  <c r="E72" i="2"/>
  <c r="D72" i="2"/>
  <c r="C72" i="2"/>
  <c r="E42" i="2"/>
  <c r="D42" i="2"/>
  <c r="E33" i="2"/>
  <c r="D33" i="2"/>
  <c r="E29" i="2"/>
  <c r="D29" i="2"/>
  <c r="E24" i="2"/>
  <c r="D24" i="2"/>
  <c r="E7" i="2"/>
  <c r="D7" i="2"/>
  <c r="F97" i="2" l="1"/>
  <c r="E107" i="2"/>
  <c r="D84" i="2"/>
  <c r="E84" i="2"/>
  <c r="C84" i="2"/>
  <c r="E11" i="1" l="1"/>
  <c r="E9" i="1" l="1"/>
  <c r="G41" i="14" l="1"/>
  <c r="B41" i="14"/>
  <c r="B20" i="14" l="1"/>
  <c r="G24" i="14"/>
  <c r="L24" i="14"/>
  <c r="G7" i="14"/>
  <c r="I11" i="14"/>
  <c r="L13" i="14"/>
  <c r="I13" i="14"/>
  <c r="H13" i="14"/>
  <c r="G13" i="14"/>
  <c r="G15" i="14"/>
  <c r="M13" i="14" l="1"/>
  <c r="C13" i="14" s="1"/>
  <c r="G14" i="14"/>
  <c r="C12" i="14"/>
  <c r="D12" i="14"/>
  <c r="B12" i="14"/>
  <c r="O11" i="14" l="1"/>
  <c r="E11" i="14"/>
  <c r="O10" i="14"/>
  <c r="O9" i="14"/>
  <c r="N6" i="14"/>
  <c r="O6" i="14" s="1"/>
  <c r="M6" i="14"/>
  <c r="L6" i="14"/>
  <c r="J8" i="14"/>
  <c r="J7" i="14"/>
  <c r="H6" i="14"/>
  <c r="I6" i="14"/>
  <c r="H35" i="14" s="1"/>
  <c r="G6" i="14"/>
  <c r="D10" i="14"/>
  <c r="C10" i="14"/>
  <c r="B10" i="14"/>
  <c r="D9" i="14"/>
  <c r="E9" i="14" s="1"/>
  <c r="C9" i="14"/>
  <c r="B9" i="14"/>
  <c r="D8" i="14"/>
  <c r="C8" i="14"/>
  <c r="B8" i="14"/>
  <c r="D7" i="14"/>
  <c r="C7" i="14"/>
  <c r="B6" i="14" l="1"/>
  <c r="H11" i="14"/>
  <c r="J11" i="14" s="1"/>
  <c r="C6" i="14"/>
  <c r="E8" i="14"/>
  <c r="J6" i="14"/>
  <c r="E7" i="14"/>
  <c r="D6" i="14"/>
  <c r="E10" i="14"/>
  <c r="C118" i="2" l="1"/>
  <c r="C29" i="2" l="1"/>
  <c r="E28" i="2"/>
  <c r="C94" i="2"/>
  <c r="F74" i="2"/>
  <c r="F73" i="2"/>
  <c r="F57" i="2"/>
  <c r="F61" i="2"/>
  <c r="F68" i="2" l="1"/>
  <c r="F72" i="2"/>
  <c r="F67" i="2" l="1"/>
  <c r="C42" i="2"/>
  <c r="C33" i="2"/>
  <c r="C24" i="2"/>
  <c r="C11" i="2"/>
  <c r="C10" i="2" s="1"/>
  <c r="C7" i="2"/>
  <c r="D107" i="2"/>
  <c r="C107" i="2"/>
  <c r="C120" i="2" s="1"/>
  <c r="F13" i="2"/>
  <c r="E10" i="2"/>
  <c r="D10" i="2" l="1"/>
  <c r="F10" i="2"/>
  <c r="F11" i="2"/>
  <c r="O26" i="14"/>
  <c r="O24" i="14"/>
  <c r="O21" i="14"/>
  <c r="J24" i="14"/>
  <c r="J23" i="14"/>
  <c r="J22" i="14"/>
  <c r="J21" i="14"/>
  <c r="E26" i="14"/>
  <c r="E20" i="14"/>
  <c r="O15" i="14"/>
  <c r="J15" i="14"/>
  <c r="J14" i="14"/>
  <c r="J13" i="14"/>
  <c r="J12" i="14"/>
  <c r="E12" i="14"/>
  <c r="O25" i="14" l="1"/>
  <c r="H40" i="14" l="1"/>
  <c r="I40" i="14" s="1"/>
  <c r="M40" i="14" l="1"/>
  <c r="N40" i="14" s="1"/>
  <c r="H39" i="14"/>
  <c r="I39" i="14" s="1"/>
  <c r="M50" i="14" l="1"/>
  <c r="N50" i="14" s="1"/>
  <c r="M48" i="14"/>
  <c r="N48" i="14" s="1"/>
  <c r="M47" i="14"/>
  <c r="M46" i="14"/>
  <c r="M45" i="14"/>
  <c r="N45" i="14" s="1"/>
  <c r="M49" i="14"/>
  <c r="H48" i="14"/>
  <c r="I48" i="14" s="1"/>
  <c r="N49" i="14" l="1"/>
  <c r="C50" i="14"/>
  <c r="D50" i="14" s="1"/>
  <c r="C48" i="14"/>
  <c r="D48" i="14" s="1"/>
  <c r="C46" i="14"/>
  <c r="D46" i="14" s="1"/>
  <c r="H46" i="14"/>
  <c r="I46" i="14" s="1"/>
  <c r="H47" i="14"/>
  <c r="I47" i="14" s="1"/>
  <c r="H45" i="14"/>
  <c r="I45" i="14" s="1"/>
  <c r="M36" i="14"/>
  <c r="M35" i="14"/>
  <c r="H38" i="14"/>
  <c r="I38" i="14" s="1"/>
  <c r="H37" i="14"/>
  <c r="I37" i="14" s="1"/>
  <c r="H36" i="14"/>
  <c r="I36" i="14" s="1"/>
  <c r="C45" i="14" l="1"/>
  <c r="D45" i="14" s="1"/>
  <c r="C47" i="14"/>
  <c r="D47" i="14" s="1"/>
  <c r="C37" i="14"/>
  <c r="D37" i="14" s="1"/>
  <c r="C36" i="14"/>
  <c r="D36" i="14" s="1"/>
  <c r="M20" i="14"/>
  <c r="H20" i="14" s="1"/>
  <c r="H25" i="14" s="1"/>
  <c r="N20" i="14"/>
  <c r="M44" i="14" s="1"/>
  <c r="N44" i="14" s="1"/>
  <c r="L20" i="14"/>
  <c r="D24" i="14"/>
  <c r="D27" i="14"/>
  <c r="B27" i="14"/>
  <c r="C24" i="14"/>
  <c r="B24" i="14"/>
  <c r="C23" i="14"/>
  <c r="D23" i="14"/>
  <c r="B23" i="14"/>
  <c r="C22" i="14"/>
  <c r="D22" i="14"/>
  <c r="B22" i="14"/>
  <c r="D21" i="14"/>
  <c r="C21" i="14"/>
  <c r="L26" i="14"/>
  <c r="E23" i="14" l="1"/>
  <c r="E21" i="14"/>
  <c r="M27" i="14"/>
  <c r="E27" i="14"/>
  <c r="N27" i="14"/>
  <c r="E24" i="14"/>
  <c r="L27" i="14"/>
  <c r="O20" i="14"/>
  <c r="E22" i="14"/>
  <c r="C15" i="14"/>
  <c r="D15" i="14"/>
  <c r="C40" i="14" s="1"/>
  <c r="D40" i="14" s="1"/>
  <c r="O27" i="14" l="1"/>
  <c r="G27" i="14"/>
  <c r="E15" i="14"/>
  <c r="H16" i="14"/>
  <c r="G16" i="14"/>
  <c r="G29" i="14" s="1"/>
  <c r="C16" i="14"/>
  <c r="C29" i="14" s="1"/>
  <c r="I35" i="14" l="1"/>
  <c r="I16" i="14"/>
  <c r="C44" i="14"/>
  <c r="D44" i="14" s="1"/>
  <c r="H50" i="14"/>
  <c r="I50" i="14" s="1"/>
  <c r="I20" i="14"/>
  <c r="M16" i="14"/>
  <c r="M29" i="14" s="1"/>
  <c r="I27" i="14" l="1"/>
  <c r="I29" i="14" s="1"/>
  <c r="J26" i="14"/>
  <c r="J16" i="14"/>
  <c r="C35" i="14"/>
  <c r="M37" i="14"/>
  <c r="H44" i="14"/>
  <c r="I44" i="14" s="1"/>
  <c r="C51" i="14"/>
  <c r="N36" i="14"/>
  <c r="L51" i="14"/>
  <c r="L41" i="14"/>
  <c r="H51" i="14" l="1"/>
  <c r="L53" i="14"/>
  <c r="J20" i="14"/>
  <c r="H27" i="14"/>
  <c r="D25" i="14"/>
  <c r="H49" i="14"/>
  <c r="D35" i="14"/>
  <c r="B51" i="14"/>
  <c r="D51" i="14" s="1"/>
  <c r="M51" i="14"/>
  <c r="N51" i="14" s="1"/>
  <c r="N35" i="14"/>
  <c r="G51" i="14"/>
  <c r="G53" i="14" s="1"/>
  <c r="J27" i="14" l="1"/>
  <c r="H29" i="14"/>
  <c r="I49" i="14"/>
  <c r="C49" i="14"/>
  <c r="D49" i="14" s="1"/>
  <c r="C25" i="14"/>
  <c r="E25" i="14" s="1"/>
  <c r="J25" i="14"/>
  <c r="B53" i="14"/>
  <c r="I51" i="14"/>
  <c r="H41" i="14"/>
  <c r="H53" i="14" l="1"/>
  <c r="I41" i="14"/>
  <c r="C28" i="2"/>
  <c r="F82" i="2" l="1"/>
  <c r="F33" i="2" l="1"/>
  <c r="F40" i="2" l="1"/>
  <c r="D13" i="1" l="1"/>
  <c r="C13" i="1"/>
  <c r="B13" i="1"/>
  <c r="E10" i="10" l="1"/>
  <c r="E120" i="2" l="1"/>
  <c r="E122" i="2" s="1"/>
  <c r="D76" i="2"/>
  <c r="E76" i="2"/>
  <c r="C76" i="2"/>
  <c r="D16" i="10" l="1"/>
  <c r="C16" i="10"/>
  <c r="F9" i="3" s="1"/>
  <c r="B16" i="10"/>
  <c r="D56" i="2" l="1"/>
  <c r="E37" i="2" l="1"/>
  <c r="D37" i="2"/>
  <c r="C37" i="2"/>
  <c r="C45" i="2" l="1"/>
  <c r="E32" i="2" l="1"/>
  <c r="C32" i="2"/>
  <c r="C17" i="2"/>
  <c r="C6" i="2"/>
  <c r="C14" i="2" l="1"/>
  <c r="C122" i="2" l="1"/>
  <c r="C103" i="2"/>
  <c r="C99" i="2"/>
  <c r="C93" i="2"/>
  <c r="C88" i="2"/>
  <c r="C80" i="2"/>
  <c r="C60" i="2"/>
  <c r="C56" i="2"/>
  <c r="C52" i="2"/>
  <c r="C48" i="2"/>
  <c r="C47" i="2" s="1"/>
  <c r="C44" i="2"/>
  <c r="C41" i="2"/>
  <c r="C23" i="2"/>
  <c r="C20" i="2"/>
  <c r="C55" i="2" l="1"/>
  <c r="C75" i="2"/>
  <c r="C36" i="2"/>
  <c r="C121" i="2"/>
  <c r="C123" i="2" s="1"/>
  <c r="C108" i="2" l="1"/>
  <c r="D41" i="2"/>
  <c r="E41" i="2"/>
  <c r="D44" i="2"/>
  <c r="E44" i="2"/>
  <c r="E16" i="10" l="1"/>
  <c r="E13" i="10"/>
  <c r="F118" i="2" l="1"/>
  <c r="F119" i="2"/>
  <c r="F91" i="2"/>
  <c r="D23" i="2" l="1"/>
  <c r="E20" i="2"/>
  <c r="D20" i="2"/>
  <c r="F22" i="2"/>
  <c r="F21" i="2"/>
  <c r="F20" i="2" l="1"/>
  <c r="D88" i="2" l="1"/>
  <c r="E88" i="2"/>
  <c r="F90" i="2"/>
  <c r="E56" i="2"/>
  <c r="F71" i="2"/>
  <c r="F69" i="2"/>
  <c r="F81" i="2"/>
  <c r="D80" i="2"/>
  <c r="E80" i="2"/>
  <c r="D60" i="2"/>
  <c r="E60" i="2"/>
  <c r="F53" i="2"/>
  <c r="D52" i="2"/>
  <c r="E52" i="2"/>
  <c r="D48" i="2"/>
  <c r="E48" i="2"/>
  <c r="D32" i="2"/>
  <c r="D28" i="2"/>
  <c r="E23" i="2"/>
  <c r="D17" i="2"/>
  <c r="E17" i="2"/>
  <c r="D14" i="2"/>
  <c r="E14" i="2"/>
  <c r="D6" i="2"/>
  <c r="D55" i="2" l="1"/>
  <c r="E55" i="2"/>
  <c r="F56" i="2"/>
  <c r="F28" i="2"/>
  <c r="D120" i="2"/>
  <c r="F120" i="2" s="1"/>
  <c r="D122" i="2" l="1"/>
  <c r="F122" i="2" s="1"/>
  <c r="F102" i="2" l="1"/>
  <c r="E14" i="10" l="1"/>
  <c r="E9" i="10"/>
  <c r="E14" i="1"/>
  <c r="E12" i="1"/>
  <c r="E10" i="1"/>
  <c r="F16" i="2" l="1"/>
  <c r="D99" i="2" l="1"/>
  <c r="E99" i="2"/>
  <c r="F79" i="2" l="1"/>
  <c r="F59" i="2"/>
  <c r="F51" i="2" l="1"/>
  <c r="F35" i="2" l="1"/>
  <c r="F31" i="2"/>
  <c r="E9" i="3" l="1"/>
  <c r="G9" i="3" l="1"/>
  <c r="H9" i="3" l="1"/>
  <c r="F92" i="2" l="1"/>
  <c r="D36" i="2" l="1"/>
  <c r="F62" i="2" l="1"/>
  <c r="F9" i="2" l="1"/>
  <c r="F49" i="2" l="1"/>
  <c r="F86" i="2" l="1"/>
  <c r="D47" i="2" l="1"/>
  <c r="E47" i="2" l="1"/>
  <c r="F52" i="2" l="1"/>
  <c r="D15" i="1" l="1"/>
  <c r="G7" i="3" l="1"/>
  <c r="C15" i="1" l="1"/>
  <c r="E15" i="1" s="1"/>
  <c r="E13" i="1"/>
  <c r="F7" i="3" l="1"/>
  <c r="H7" i="3" l="1"/>
  <c r="F88" i="2"/>
  <c r="E36" i="2" l="1"/>
  <c r="F37" i="2"/>
  <c r="F36" i="2" l="1"/>
  <c r="D75" i="2" l="1"/>
  <c r="F89" i="2" l="1"/>
  <c r="G38" i="5" l="1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G30" i="5" l="1"/>
  <c r="C44" i="5" s="1"/>
  <c r="C3" i="5" l="1"/>
  <c r="C48" i="5" s="1"/>
  <c r="F48" i="2" l="1"/>
  <c r="F14" i="2"/>
  <c r="F17" i="2"/>
  <c r="E103" i="2"/>
  <c r="D103" i="2"/>
  <c r="F24" i="2"/>
  <c r="B15" i="1"/>
  <c r="F107" i="2"/>
  <c r="F104" i="2"/>
  <c r="F95" i="2"/>
  <c r="F85" i="2"/>
  <c r="F45" i="2"/>
  <c r="F42" i="2"/>
  <c r="F38" i="2"/>
  <c r="F29" i="2"/>
  <c r="F19" i="2"/>
  <c r="F18" i="2"/>
  <c r="F15" i="2"/>
  <c r="E7" i="3" l="1"/>
  <c r="F77" i="2"/>
  <c r="E75" i="2"/>
  <c r="F99" i="2"/>
  <c r="G7" i="8"/>
  <c r="F41" i="2"/>
  <c r="F60" i="2"/>
  <c r="F103" i="2"/>
  <c r="F84" i="2"/>
  <c r="F32" i="2"/>
  <c r="F23" i="2"/>
  <c r="B6" i="4"/>
  <c r="F44" i="2"/>
  <c r="F55" i="2"/>
  <c r="F80" i="2"/>
  <c r="F47" i="2"/>
  <c r="F76" i="2" l="1"/>
  <c r="B4" i="4"/>
  <c r="E41" i="8"/>
  <c r="E7" i="8"/>
  <c r="F75" i="2"/>
  <c r="B35" i="4"/>
  <c r="G41" i="8"/>
  <c r="F7" i="8"/>
  <c r="H7" i="8" s="1"/>
  <c r="B33" i="4"/>
  <c r="E8" i="3" l="1"/>
  <c r="C4" i="4" s="1"/>
  <c r="F41" i="8"/>
  <c r="H41" i="8" s="1"/>
  <c r="E9" i="8" l="1"/>
  <c r="C33" i="4"/>
  <c r="F9" i="8"/>
  <c r="F42" i="8"/>
  <c r="B5" i="4"/>
  <c r="B34" i="4"/>
  <c r="E42" i="8" l="1"/>
  <c r="C34" i="4"/>
  <c r="G42" i="8"/>
  <c r="G9" i="8"/>
  <c r="H42" i="8" l="1"/>
  <c r="G43" i="8"/>
  <c r="C35" i="4"/>
  <c r="H9" i="8"/>
  <c r="G11" i="8"/>
  <c r="F7" i="2"/>
  <c r="E6" i="2"/>
  <c r="D93" i="2"/>
  <c r="D106" i="2" s="1"/>
  <c r="F94" i="2"/>
  <c r="E93" i="2"/>
  <c r="D108" i="2" l="1"/>
  <c r="F8" i="3" s="1"/>
  <c r="C5" i="4" s="1"/>
  <c r="D121" i="2"/>
  <c r="F117" i="2"/>
  <c r="F93" i="2"/>
  <c r="F6" i="2"/>
  <c r="E121" i="2"/>
  <c r="F106" i="2" l="1"/>
  <c r="D123" i="2"/>
  <c r="F121" i="2"/>
  <c r="E108" i="2"/>
  <c r="G8" i="3" s="1"/>
  <c r="G10" i="3" s="1"/>
  <c r="E123" i="2"/>
  <c r="F123" i="2" l="1"/>
  <c r="F108" i="2"/>
  <c r="H8" i="3"/>
  <c r="C6" i="4"/>
  <c r="L16" i="14"/>
  <c r="L29" i="14"/>
  <c r="B16" i="14"/>
  <c r="B29" i="14" s="1"/>
  <c r="O14" i="14"/>
  <c r="D14" i="14"/>
  <c r="E14" i="14" s="1"/>
  <c r="M39" i="14"/>
  <c r="N39" i="14" s="1"/>
  <c r="N13" i="14"/>
  <c r="D13" i="14" s="1"/>
  <c r="M38" i="14" l="1"/>
  <c r="M41" i="14" s="1"/>
  <c r="N41" i="14" s="1"/>
  <c r="N16" i="14"/>
  <c r="O16" i="14" s="1"/>
  <c r="E13" i="14"/>
  <c r="D16" i="14"/>
  <c r="C38" i="14"/>
  <c r="C41" i="14" s="1"/>
  <c r="M53" i="14"/>
  <c r="C39" i="14"/>
  <c r="D39" i="14" s="1"/>
  <c r="O13" i="14"/>
  <c r="N29" i="14" l="1"/>
  <c r="N38" i="14"/>
  <c r="D38" i="14"/>
  <c r="D29" i="14"/>
  <c r="C53" i="14" l="1"/>
  <c r="D41" i="14"/>
</calcChain>
</file>

<file path=xl/comments1.xml><?xml version="1.0" encoding="utf-8"?>
<comments xmlns="http://schemas.openxmlformats.org/spreadsheetml/2006/main">
  <authors>
    <author>Foret Oldřich</author>
  </authors>
  <commentList>
    <comment ref="M11" authorId="0" shapeId="0">
      <text>
        <r>
          <rPr>
            <b/>
            <sz val="9"/>
            <color indexed="81"/>
            <rFont val="Tahoma"/>
            <family val="2"/>
            <charset val="238"/>
          </rPr>
          <t>+ FV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  <charset val="238"/>
          </rPr>
          <t>+ FV</t>
        </r>
      </text>
    </comment>
  </commentList>
</comments>
</file>

<file path=xl/comments2.xml><?xml version="1.0" encoding="utf-8"?>
<comments xmlns="http://schemas.openxmlformats.org/spreadsheetml/2006/main">
  <authors>
    <author>Foret Oldřich</author>
  </authors>
  <commentList>
    <comment ref="A42" authorId="0" shapeId="0">
      <text>
        <r>
          <rPr>
            <b/>
            <sz val="9"/>
            <color indexed="81"/>
            <rFont val="Tahoma"/>
            <family val="2"/>
            <charset val="238"/>
          </rPr>
          <t>5331 a 5336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6351 a </t>
        </r>
        <r>
          <rPr>
            <b/>
            <sz val="9"/>
            <color indexed="81"/>
            <rFont val="Tahoma"/>
            <family val="2"/>
            <charset val="238"/>
          </rPr>
          <t>6356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  <charset val="238"/>
          </rPr>
          <t>52xx, UZ 33xxx
5333
5339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Foret Oldřich</author>
  </authors>
  <commentLis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8113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  <charset val="238"/>
          </rPr>
          <t>8115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8117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8123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  <charset val="238"/>
          </rPr>
          <t>8124, 8224 - Finka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 shapeId="0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 shapeId="0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 shapeId="0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 shapeId="0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 shapeId="0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5.xml><?xml version="1.0" encoding="utf-8"?>
<comments xmlns="http://schemas.openxmlformats.org/spreadsheetml/2006/main">
  <authors>
    <author>Ing. Alice Hradilová</author>
  </authors>
  <commentList>
    <comment ref="J7" authorId="0" shape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<sst xmlns="http://schemas.openxmlformats.org/spreadsheetml/2006/main" count="368" uniqueCount="161">
  <si>
    <t>v tis. Kč</t>
  </si>
  <si>
    <t>Příjmy</t>
  </si>
  <si>
    <t>schválený rozp.</t>
  </si>
  <si>
    <t>upravený rozp.</t>
  </si>
  <si>
    <t>skutečnost</t>
  </si>
  <si>
    <t>%</t>
  </si>
  <si>
    <t>5=4/3</t>
  </si>
  <si>
    <t xml:space="preserve">Příjmy Olomouckého kraje                                (po konsolidaci)                </t>
  </si>
  <si>
    <t>Příjmy celkem</t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</si>
  <si>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</si>
  <si>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</si>
  <si>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</si>
  <si>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</si>
  <si>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</si>
  <si>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</si>
  <si>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</si>
  <si>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</si>
  <si>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</si>
  <si>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</si>
  <si>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 ekonomický</t>
  </si>
  <si>
    <t>Odbor životního prostředí a zemědělství</t>
  </si>
  <si>
    <t>odbor</t>
  </si>
  <si>
    <t>příspěvkové organizace</t>
  </si>
  <si>
    <t>Odbor sociálních věcí</t>
  </si>
  <si>
    <t>Odbor dopravy a silničního hospodářství</t>
  </si>
  <si>
    <t>Odbor zdravotnictví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</si>
  <si>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</si>
  <si>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</si>
  <si>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</si>
  <si>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</si>
  <si>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</si>
  <si>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</si>
  <si>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</si>
  <si>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</si>
  <si>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</si>
  <si>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</si>
  <si>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</si>
  <si>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</si>
  <si>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</si>
  <si>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</si>
  <si>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</si>
  <si>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</si>
  <si>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</si>
  <si>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 xml:space="preserve"> - konsolidace</t>
  </si>
  <si>
    <t xml:space="preserve">Fond - odběr podzemní vody   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</si>
  <si>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</si>
  <si>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</si>
  <si>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</si>
  <si>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</si>
  <si>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</si>
  <si>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</si>
  <si>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</si>
  <si>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</si>
  <si>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</si>
  <si>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</si>
  <si>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</si>
  <si>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</si>
  <si>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</si>
  <si>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</si>
  <si>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</si>
  <si>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</si>
  <si>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</si>
  <si>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</si>
  <si>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</si>
  <si>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</si>
  <si>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</si>
  <si>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</si>
  <si>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</si>
  <si>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</si>
  <si>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</si>
  <si>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</si>
  <si>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</si>
  <si>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</si>
  <si>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</si>
  <si>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</si>
  <si>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</si>
  <si>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</si>
  <si>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</si>
  <si>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</si>
  <si>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</si>
  <si>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</si>
  <si>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</si>
  <si>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</si>
  <si>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</si>
  <si>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</si>
  <si>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Odbor kancelář ředitele</t>
  </si>
  <si>
    <t>Odbor majetkový, právní a správních činností</t>
  </si>
  <si>
    <t>Odbor strategického rozvoje kraje</t>
  </si>
  <si>
    <t>Financování</t>
  </si>
  <si>
    <t>Financování celkem</t>
  </si>
  <si>
    <t>Odbor kontroly</t>
  </si>
  <si>
    <t>Výdaje</t>
  </si>
  <si>
    <t xml:space="preserve">Saldo příjmů a výdajů Olomouckého kraje po konsolidaci celkem </t>
  </si>
  <si>
    <t>Rekapitulace dle druhu výdajů</t>
  </si>
  <si>
    <t>Přehled celkových příjmů Olomouckého kraje, které zahrnují  příjmy běžné (daňové, nedaňové, kapitálové)                     a přijaté účelové dotace ze státního rozpočtu.</t>
  </si>
  <si>
    <t>5 = 4/3</t>
  </si>
  <si>
    <t>6 = 5/4</t>
  </si>
  <si>
    <t>Přehled financování Olomouckého kraje, které zahrnuje zapojení především úvěrů, zapojení přebytku hospodaření a splátky úvěrů.</t>
  </si>
  <si>
    <t>Odbor školství a mládeže</t>
  </si>
  <si>
    <t>Odbor investic</t>
  </si>
  <si>
    <t>Odbor kancelář hejtmana</t>
  </si>
  <si>
    <r>
      <t>1 -</t>
    </r>
    <r>
      <rPr>
        <sz val="11"/>
        <rFont val="Arial CE"/>
        <charset val="238"/>
      </rPr>
      <t xml:space="preserve"> Daňové příjmy</t>
    </r>
  </si>
  <si>
    <r>
      <t>2 -</t>
    </r>
    <r>
      <rPr>
        <sz val="11"/>
        <rFont val="Arial CE"/>
        <charset val="238"/>
      </rPr>
      <t xml:space="preserve"> Nedaňové příjmy</t>
    </r>
  </si>
  <si>
    <t>3 - Kapitálové příjmy</t>
  </si>
  <si>
    <r>
      <t>4 -</t>
    </r>
    <r>
      <rPr>
        <sz val="11"/>
        <rFont val="Arial CE"/>
        <charset val="238"/>
      </rPr>
      <t xml:space="preserve"> Přijaté transfery</t>
    </r>
  </si>
  <si>
    <t>4 - Konsolidace *</t>
  </si>
  <si>
    <t>6 - kapitálové výdaje</t>
  </si>
  <si>
    <t>5 - konsolidace</t>
  </si>
  <si>
    <t>5 - běžné výdaje</t>
  </si>
  <si>
    <t>5 - běžné výdaje, 6 - kapitálové výdaje (dotační programy/tituly)</t>
  </si>
  <si>
    <t>Odbor sportu, kultury a památkové péče</t>
  </si>
  <si>
    <t>5 - Konsolidace *</t>
  </si>
  <si>
    <t>5 - Běžné výdaje</t>
  </si>
  <si>
    <t>6 - Kapitálové výdaje</t>
  </si>
  <si>
    <t>8 - Krátkodobé přijaté půjčené prostředky</t>
  </si>
  <si>
    <t>8 - Změna stavu krátkodobých prostředků na bank. účtech</t>
  </si>
  <si>
    <t>8 - Splátky úvěrů</t>
  </si>
  <si>
    <t>soukromé a obecní školy</t>
  </si>
  <si>
    <t>Odbor informačních technologií</t>
  </si>
  <si>
    <t>8 - Aktivní krátkodobé operace řízení likvidity - příjmy</t>
  </si>
  <si>
    <t>8 - Dlouhodobé přijaté půjčené prostředky</t>
  </si>
  <si>
    <t>8 - Aktivní krátkodobé operace řízení likvidity - výdaje</t>
  </si>
  <si>
    <t>Výdaje Olomouckého kraje celkem</t>
  </si>
  <si>
    <t>Výdaje Olomouckého kraje celkem (po konsolidaci)</t>
  </si>
  <si>
    <t>* Konsolidace je očištění údajů rozpočtu a skutečnosti o interní přesuny peněžních prostředků uvnitř organizace mezi jednotlivými účty.</t>
  </si>
  <si>
    <t>30-79</t>
  </si>
  <si>
    <t>z toho: daňové příjmy</t>
  </si>
  <si>
    <t xml:space="preserve">            správní poplatky</t>
  </si>
  <si>
    <t xml:space="preserve">            příspěvkové organizace</t>
  </si>
  <si>
    <t>8 - Operace z peněžních účtů organizace nemající charakter příjmů a výdajů vládního sektoru</t>
  </si>
  <si>
    <t>OLOMOUCKÝ KRAJ CELKEM</t>
  </si>
  <si>
    <t>Z TOHO VLASTNÍ ROZPOČET</t>
  </si>
  <si>
    <t>Z TOHO FONDY A ÚČELOVÉ DOTACE</t>
  </si>
  <si>
    <t>index %</t>
  </si>
  <si>
    <t>Výdaje celkem</t>
  </si>
  <si>
    <t>Výdaje  celkem</t>
  </si>
  <si>
    <t>9 = 8/7</t>
  </si>
  <si>
    <t>z toho: dotační programy/tituly                 .</t>
  </si>
  <si>
    <t xml:space="preserve">            KIDSOK - dopravní obslužnost</t>
  </si>
  <si>
    <t>13 = 12/11</t>
  </si>
  <si>
    <t>z toho: neinvestiční</t>
  </si>
  <si>
    <t xml:space="preserve">            investiční</t>
  </si>
  <si>
    <t>FINANCOVÁNÍ</t>
  </si>
  <si>
    <t xml:space="preserve">            poplatky za znečišťování ovzduší</t>
  </si>
  <si>
    <t xml:space="preserve">            poplatek za odebrané množství podzemní vody</t>
  </si>
  <si>
    <t xml:space="preserve">            platy a ostatní výdaje</t>
  </si>
  <si>
    <t xml:space="preserve">           běžné výdaje ostatní dopočet</t>
  </si>
  <si>
    <t>1 - Daňové příjmy</t>
  </si>
  <si>
    <t>2 - Nedaňové příjmy</t>
  </si>
  <si>
    <t>4 - Přijaté transfery</t>
  </si>
  <si>
    <t xml:space="preserve">           běžné výdaje a ostatní dopočet</t>
  </si>
  <si>
    <t>Personální útvar</t>
  </si>
  <si>
    <t>1. Plnění rozpočtu příjmů Olomouckého kraje k 30. 6. 2022</t>
  </si>
  <si>
    <t>2. Plnění rozpočtu výdajů Olomouckého kraje k 30. 6. 2022</t>
  </si>
  <si>
    <t>Nouzové ubytování</t>
  </si>
  <si>
    <t>3. Financování Olomouckého kraje k 30. 6. 2022</t>
  </si>
  <si>
    <t>Rekapitulace k 30. 6. 2022:</t>
  </si>
  <si>
    <t>Bilance Olomouckého kraje k 30. 6. 2022 (bez konsolidace)</t>
  </si>
  <si>
    <t>Meziroční srovnání rozpočtu Olomouckého kraje k 30. 6. 2022 a 30.6.2021</t>
  </si>
  <si>
    <t>skutečnost 06/2021</t>
  </si>
  <si>
    <t>skutečnost 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</si>
</sst>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#,##0"/>
    <numFmt numFmtId="166" formatCode="#,##0_ ;[Red]\-#,##0\ "/>
  </numFmts>
  <fonts count="64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8"/>
      <color indexed="81"/>
      <name val="Tahoma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3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3" fontId="0" fillId="0" borderId="0"/>
    <xf numFmtId="0" fontId="16" fillId="0" borderId="0"/>
    <xf numFmtId="0" fontId="16" fillId="0" borderId="0"/>
    <xf numFmtId="9" fontId="4" fillId="0" borderId="0" applyFont="0" applyFill="0" applyBorder="0" applyAlignment="0" applyProtection="0"/>
  </cellStyleXfs>
  <cellXfs count="544">
    <xf numFmtId="3" fontId="0" fillId="0" borderId="0" xfId="0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5" fillId="0" borderId="0" xfId="0" applyFont="1" applyFill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164" fontId="20" fillId="0" borderId="0" xfId="1" applyNumberFormat="1" applyFont="1" applyFill="1" applyBorder="1"/>
    <xf numFmtId="0" fontId="16" fillId="0" borderId="5" xfId="1" applyFont="1" applyFill="1" applyBorder="1"/>
    <xf numFmtId="165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165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4" fillId="0" borderId="0" xfId="1" applyFont="1" applyFill="1" applyBorder="1"/>
    <xf numFmtId="165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4" fontId="19" fillId="2" borderId="0" xfId="1" applyNumberFormat="1" applyFont="1" applyFill="1"/>
    <xf numFmtId="0" fontId="16" fillId="0" borderId="0" xfId="1" applyFont="1" applyFill="1" applyBorder="1"/>
    <xf numFmtId="4" fontId="16" fillId="0" borderId="0" xfId="1" applyNumberFormat="1" applyFont="1" applyFill="1" applyBorder="1"/>
    <xf numFmtId="4" fontId="7" fillId="0" borderId="0" xfId="1" applyNumberFormat="1" applyFont="1" applyFill="1" applyBorder="1"/>
    <xf numFmtId="3" fontId="16" fillId="0" borderId="0" xfId="1" applyNumberFormat="1" applyFill="1"/>
    <xf numFmtId="3" fontId="33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37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38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19" fillId="2" borderId="0" xfId="1" applyNumberFormat="1" applyFont="1" applyFill="1" applyBorder="1"/>
    <xf numFmtId="4" fontId="32" fillId="0" borderId="0" xfId="1" applyNumberFormat="1" applyFont="1" applyFill="1" applyBorder="1"/>
    <xf numFmtId="4" fontId="31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4" fontId="20" fillId="2" borderId="0" xfId="1" applyNumberFormat="1" applyFont="1" applyFill="1" applyBorder="1"/>
    <xf numFmtId="4" fontId="31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3" fontId="9" fillId="0" borderId="20" xfId="0" applyFont="1" applyBorder="1" applyAlignment="1">
      <alignment horizontal="right"/>
    </xf>
    <xf numFmtId="3" fontId="9" fillId="0" borderId="21" xfId="0" applyFont="1" applyBorder="1" applyAlignment="1">
      <alignment horizontal="right"/>
    </xf>
    <xf numFmtId="3" fontId="13" fillId="0" borderId="23" xfId="0" applyFont="1" applyBorder="1" applyAlignment="1">
      <alignment horizontal="right"/>
    </xf>
    <xf numFmtId="3" fontId="13" fillId="0" borderId="24" xfId="0" applyFont="1" applyBorder="1" applyAlignment="1">
      <alignment horizontal="right"/>
    </xf>
    <xf numFmtId="3" fontId="31" fillId="0" borderId="11" xfId="1" applyNumberFormat="1" applyFont="1" applyFill="1" applyBorder="1"/>
    <xf numFmtId="3" fontId="31" fillId="0" borderId="26" xfId="1" applyNumberFormat="1" applyFont="1" applyFill="1" applyBorder="1"/>
    <xf numFmtId="3" fontId="20" fillId="0" borderId="27" xfId="1" applyNumberFormat="1" applyFont="1" applyFill="1" applyBorder="1"/>
    <xf numFmtId="3" fontId="41" fillId="0" borderId="0" xfId="1" applyNumberFormat="1" applyFont="1" applyFill="1" applyBorder="1"/>
    <xf numFmtId="3" fontId="7" fillId="0" borderId="0" xfId="1" applyNumberFormat="1" applyFont="1" applyFill="1" applyBorder="1"/>
    <xf numFmtId="3" fontId="42" fillId="0" borderId="0" xfId="1" applyNumberFormat="1" applyFont="1" applyFill="1"/>
    <xf numFmtId="1" fontId="45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19" xfId="0" applyFont="1" applyFill="1" applyBorder="1" applyAlignment="1"/>
    <xf numFmtId="3" fontId="3" fillId="3" borderId="19" xfId="0" applyFont="1" applyFill="1" applyBorder="1" applyAlignment="1">
      <alignment horizontal="right"/>
    </xf>
    <xf numFmtId="3" fontId="2" fillId="4" borderId="19" xfId="0" applyFont="1" applyFill="1" applyBorder="1" applyAlignment="1">
      <alignment horizontal="right"/>
    </xf>
    <xf numFmtId="3" fontId="3" fillId="3" borderId="30" xfId="0" applyFont="1" applyFill="1" applyBorder="1" applyAlignment="1">
      <alignment horizontal="right"/>
    </xf>
    <xf numFmtId="3" fontId="0" fillId="0" borderId="28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47" fillId="5" borderId="31" xfId="0" applyNumberFormat="1" applyFont="1" applyFill="1" applyBorder="1" applyAlignment="1">
      <alignment horizontal="left"/>
    </xf>
    <xf numFmtId="3" fontId="48" fillId="5" borderId="32" xfId="0" applyFont="1" applyFill="1" applyBorder="1"/>
    <xf numFmtId="3" fontId="49" fillId="5" borderId="32" xfId="0" applyFont="1" applyFill="1" applyBorder="1"/>
    <xf numFmtId="1" fontId="47" fillId="5" borderId="7" xfId="0" applyNumberFormat="1" applyFont="1" applyFill="1" applyBorder="1" applyAlignment="1">
      <alignment horizontal="left"/>
    </xf>
    <xf numFmtId="3" fontId="48" fillId="5" borderId="0" xfId="0" applyFont="1" applyFill="1" applyBorder="1"/>
    <xf numFmtId="3" fontId="49" fillId="5" borderId="0" xfId="0" applyFont="1" applyFill="1" applyBorder="1"/>
    <xf numFmtId="4" fontId="51" fillId="0" borderId="0" xfId="1" applyNumberFormat="1" applyFont="1" applyFill="1" applyBorder="1"/>
    <xf numFmtId="165" fontId="16" fillId="0" borderId="0" xfId="1" applyNumberFormat="1" applyFont="1" applyFill="1" applyAlignment="1">
      <alignment horizontal="center"/>
    </xf>
    <xf numFmtId="165" fontId="21" fillId="0" borderId="27" xfId="1" applyNumberFormat="1" applyFont="1" applyFill="1" applyBorder="1" applyAlignment="1">
      <alignment horizontal="center"/>
    </xf>
    <xf numFmtId="1" fontId="13" fillId="6" borderId="31" xfId="0" applyNumberFormat="1" applyFont="1" applyFill="1" applyBorder="1" applyAlignment="1">
      <alignment horizontal="left"/>
    </xf>
    <xf numFmtId="3" fontId="4" fillId="6" borderId="32" xfId="0" applyFont="1" applyFill="1" applyBorder="1"/>
    <xf numFmtId="3" fontId="8" fillId="5" borderId="33" xfId="0" applyNumberFormat="1" applyFont="1" applyFill="1" applyBorder="1" applyAlignment="1">
      <alignment horizontal="right"/>
    </xf>
    <xf numFmtId="1" fontId="46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4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4" xfId="0" applyNumberFormat="1" applyFont="1" applyFill="1" applyBorder="1" applyAlignment="1">
      <alignment horizontal="right"/>
    </xf>
    <xf numFmtId="3" fontId="1" fillId="6" borderId="34" xfId="0" applyFont="1" applyFill="1" applyBorder="1" applyAlignment="1">
      <alignment horizontal="right"/>
    </xf>
    <xf numFmtId="3" fontId="7" fillId="0" borderId="0" xfId="1" applyNumberFormat="1" applyFont="1" applyFill="1"/>
    <xf numFmtId="164" fontId="35" fillId="0" borderId="0" xfId="1" applyNumberFormat="1" applyFont="1" applyFill="1" applyBorder="1"/>
    <xf numFmtId="0" fontId="32" fillId="0" borderId="10" xfId="1" applyFont="1" applyFill="1" applyBorder="1" applyAlignment="1">
      <alignment wrapText="1"/>
    </xf>
    <xf numFmtId="165" fontId="31" fillId="0" borderId="35" xfId="1" applyNumberFormat="1" applyFont="1" applyFill="1" applyBorder="1" applyAlignment="1">
      <alignment horizontal="center"/>
    </xf>
    <xf numFmtId="3" fontId="21" fillId="0" borderId="0" xfId="1" applyNumberFormat="1" applyFont="1" applyFill="1" applyBorder="1" applyProtection="1">
      <protection locked="0"/>
    </xf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4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4" fillId="6" borderId="29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1" xfId="0" applyFont="1" applyFill="1" applyBorder="1" applyAlignment="1"/>
    <xf numFmtId="3" fontId="8" fillId="6" borderId="27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4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48" fillId="5" borderId="44" xfId="0" applyFont="1" applyFill="1" applyBorder="1" applyAlignment="1">
      <alignment horizontal="right"/>
    </xf>
    <xf numFmtId="3" fontId="48" fillId="5" borderId="45" xfId="0" applyFont="1" applyFill="1" applyBorder="1" applyAlignment="1">
      <alignment horizontal="right"/>
    </xf>
    <xf numFmtId="3" fontId="50" fillId="5" borderId="21" xfId="0" applyFont="1" applyFill="1" applyBorder="1" applyAlignment="1">
      <alignment horizontal="right"/>
    </xf>
    <xf numFmtId="3" fontId="50" fillId="5" borderId="20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1" fontId="55" fillId="0" borderId="40" xfId="0" applyNumberFormat="1" applyFont="1" applyFill="1" applyBorder="1" applyAlignment="1">
      <alignment horizontal="left"/>
    </xf>
    <xf numFmtId="3" fontId="5" fillId="0" borderId="43" xfId="0" applyFont="1" applyFill="1" applyBorder="1"/>
    <xf numFmtId="3" fontId="5" fillId="0" borderId="39" xfId="0" applyFont="1" applyFill="1" applyBorder="1"/>
    <xf numFmtId="3" fontId="0" fillId="0" borderId="0" xfId="0" applyFont="1" applyFill="1" applyAlignment="1">
      <alignment horizontal="center"/>
    </xf>
    <xf numFmtId="164" fontId="52" fillId="0" borderId="0" xfId="1" applyNumberFormat="1" applyFont="1" applyFill="1" applyBorder="1"/>
    <xf numFmtId="3" fontId="53" fillId="0" borderId="0" xfId="1" applyNumberFormat="1" applyFont="1" applyFill="1" applyBorder="1"/>
    <xf numFmtId="3" fontId="52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13" fillId="3" borderId="35" xfId="0" applyFont="1" applyFill="1" applyBorder="1" applyAlignment="1"/>
    <xf numFmtId="3" fontId="58" fillId="4" borderId="11" xfId="0" applyFont="1" applyFill="1" applyBorder="1" applyAlignment="1">
      <alignment horizontal="right"/>
    </xf>
    <xf numFmtId="3" fontId="50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59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3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4" fillId="0" borderId="0" xfId="1" applyNumberFormat="1" applyFont="1" applyFill="1" applyBorder="1"/>
    <xf numFmtId="3" fontId="35" fillId="0" borderId="0" xfId="1" applyNumberFormat="1" applyFont="1" applyFill="1" applyBorder="1"/>
    <xf numFmtId="4" fontId="35" fillId="0" borderId="0" xfId="1" applyNumberFormat="1" applyFont="1" applyFill="1" applyBorder="1"/>
    <xf numFmtId="3" fontId="36" fillId="0" borderId="0" xfId="1" applyNumberFormat="1" applyFont="1" applyFill="1" applyBorder="1"/>
    <xf numFmtId="4" fontId="36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2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3" fillId="0" borderId="0" xfId="1" applyNumberFormat="1" applyFont="1" applyFill="1" applyBorder="1"/>
    <xf numFmtId="4" fontId="19" fillId="0" borderId="0" xfId="1" applyNumberFormat="1" applyFont="1" applyFill="1" applyBorder="1"/>
    <xf numFmtId="0" fontId="30" fillId="0" borderId="0" xfId="1" applyFont="1" applyFill="1" applyBorder="1" applyAlignment="1">
      <alignment vertical="top"/>
    </xf>
    <xf numFmtId="3" fontId="32" fillId="0" borderId="0" xfId="1" applyNumberFormat="1" applyFont="1" applyFill="1" applyBorder="1" applyAlignment="1"/>
    <xf numFmtId="3" fontId="60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2" fillId="0" borderId="0" xfId="1" applyFont="1" applyFill="1" applyBorder="1" applyAlignment="1">
      <alignment wrapText="1"/>
    </xf>
    <xf numFmtId="165" fontId="31" fillId="0" borderId="0" xfId="1" applyNumberFormat="1" applyFont="1" applyFill="1" applyBorder="1" applyAlignment="1">
      <alignment horizontal="center"/>
    </xf>
    <xf numFmtId="3" fontId="31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46" xfId="1" applyFont="1" applyFill="1" applyBorder="1"/>
    <xf numFmtId="3" fontId="13" fillId="0" borderId="47" xfId="0" applyFont="1" applyBorder="1" applyAlignment="1">
      <alignment horizontal="right"/>
    </xf>
    <xf numFmtId="0" fontId="16" fillId="0" borderId="48" xfId="1" applyFont="1" applyFill="1" applyBorder="1"/>
    <xf numFmtId="3" fontId="9" fillId="0" borderId="49" xfId="0" applyFont="1" applyBorder="1" applyAlignment="1">
      <alignment horizontal="right"/>
    </xf>
    <xf numFmtId="0" fontId="4" fillId="0" borderId="50" xfId="1" applyFont="1" applyFill="1" applyBorder="1"/>
    <xf numFmtId="0" fontId="4" fillId="0" borderId="51" xfId="1" applyFont="1" applyFill="1" applyBorder="1"/>
    <xf numFmtId="165" fontId="19" fillId="0" borderId="52" xfId="1" applyNumberFormat="1" applyFont="1" applyFill="1" applyBorder="1" applyAlignment="1">
      <alignment horizontal="center"/>
    </xf>
    <xf numFmtId="3" fontId="7" fillId="0" borderId="52" xfId="1" applyNumberFormat="1" applyFont="1" applyFill="1" applyBorder="1"/>
    <xf numFmtId="3" fontId="9" fillId="0" borderId="53" xfId="0" applyFont="1" applyBorder="1" applyAlignment="1">
      <alignment horizontal="right"/>
    </xf>
    <xf numFmtId="3" fontId="0" fillId="6" borderId="7" xfId="0" applyFont="1" applyFill="1" applyBorder="1" applyAlignment="1"/>
    <xf numFmtId="0" fontId="7" fillId="0" borderId="0" xfId="1" applyFont="1" applyFill="1"/>
    <xf numFmtId="3" fontId="7" fillId="0" borderId="5" xfId="0" applyFont="1" applyFill="1" applyBorder="1"/>
    <xf numFmtId="3" fontId="7" fillId="0" borderId="8" xfId="0" applyFont="1" applyFill="1" applyBorder="1"/>
    <xf numFmtId="3" fontId="0" fillId="0" borderId="0" xfId="0" applyFont="1" applyFill="1"/>
    <xf numFmtId="3" fontId="0" fillId="7" borderId="0" xfId="0" applyFont="1" applyFill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7" borderId="11" xfId="0" applyNumberFormat="1" applyFont="1" applyFill="1" applyBorder="1"/>
    <xf numFmtId="3" fontId="9" fillId="0" borderId="21" xfId="0" applyFont="1" applyBorder="1" applyAlignment="1">
      <alignment horizontal="right" vertical="top"/>
    </xf>
    <xf numFmtId="3" fontId="13" fillId="0" borderId="54" xfId="0" applyFont="1" applyFill="1" applyBorder="1"/>
    <xf numFmtId="3" fontId="8" fillId="0" borderId="18" xfId="0" applyNumberFormat="1" applyFont="1" applyFill="1" applyBorder="1"/>
    <xf numFmtId="3" fontId="13" fillId="0" borderId="22" xfId="0" applyFont="1" applyBorder="1" applyAlignment="1">
      <alignment horizontal="right"/>
    </xf>
    <xf numFmtId="3" fontId="7" fillId="7" borderId="6" xfId="0" applyNumberFormat="1" applyFont="1" applyFill="1" applyBorder="1"/>
    <xf numFmtId="164" fontId="7" fillId="7" borderId="34" xfId="0" applyNumberFormat="1" applyFont="1" applyFill="1" applyBorder="1"/>
    <xf numFmtId="3" fontId="21" fillId="0" borderId="38" xfId="1" applyNumberFormat="1" applyFont="1" applyFill="1" applyBorder="1" applyAlignment="1">
      <alignment horizontal="center"/>
    </xf>
    <xf numFmtId="3" fontId="7" fillId="0" borderId="5" xfId="0" applyFont="1" applyFill="1" applyBorder="1" applyAlignment="1">
      <alignment wrapText="1"/>
    </xf>
    <xf numFmtId="3" fontId="9" fillId="7" borderId="6" xfId="0" applyNumberFormat="1" applyFont="1" applyFill="1" applyBorder="1" applyAlignment="1">
      <alignment vertical="top"/>
    </xf>
    <xf numFmtId="3" fontId="7" fillId="0" borderId="13" xfId="0" applyFont="1" applyFill="1" applyBorder="1"/>
    <xf numFmtId="3" fontId="9" fillId="0" borderId="27" xfId="0" applyNumberFormat="1" applyFont="1" applyFill="1" applyBorder="1"/>
    <xf numFmtId="3" fontId="9" fillId="7" borderId="27" xfId="0" applyNumberFormat="1" applyFont="1" applyFill="1" applyBorder="1"/>
    <xf numFmtId="3" fontId="9" fillId="0" borderId="6" xfId="0" applyNumberFormat="1" applyFont="1" applyFill="1" applyBorder="1" applyAlignment="1">
      <alignment vertical="top"/>
    </xf>
    <xf numFmtId="4" fontId="20" fillId="0" borderId="0" xfId="1" applyNumberFormat="1" applyFont="1" applyFill="1"/>
    <xf numFmtId="164" fontId="62" fillId="0" borderId="0" xfId="1" applyNumberFormat="1" applyFont="1" applyFill="1" applyBorder="1"/>
    <xf numFmtId="3" fontId="40" fillId="0" borderId="0" xfId="1" applyNumberFormat="1" applyFont="1" applyFill="1" applyBorder="1"/>
    <xf numFmtId="4" fontId="24" fillId="0" borderId="0" xfId="1" applyNumberFormat="1" applyFont="1" applyFill="1"/>
    <xf numFmtId="4" fontId="25" fillId="0" borderId="0" xfId="1" applyNumberFormat="1" applyFont="1" applyFill="1" applyBorder="1"/>
    <xf numFmtId="0" fontId="19" fillId="0" borderId="0" xfId="1" applyFont="1" applyFill="1" applyBorder="1"/>
    <xf numFmtId="164" fontId="44" fillId="0" borderId="0" xfId="1" applyNumberFormat="1" applyFont="1" applyFill="1" applyBorder="1"/>
    <xf numFmtId="164" fontId="25" fillId="0" borderId="0" xfId="1" applyNumberFormat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29" fillId="0" borderId="0" xfId="1" applyFont="1" applyFill="1" applyBorder="1"/>
    <xf numFmtId="3" fontId="9" fillId="0" borderId="25" xfId="0" applyFont="1" applyBorder="1" applyAlignment="1">
      <alignment horizontal="right" vertical="top"/>
    </xf>
    <xf numFmtId="3" fontId="63" fillId="0" borderId="0" xfId="0" applyFont="1" applyFill="1" applyAlignment="1">
      <alignment horizontal="center" vertical="center"/>
    </xf>
    <xf numFmtId="3" fontId="4" fillId="8" borderId="3" xfId="0" applyFont="1" applyFill="1" applyBorder="1" applyAlignment="1">
      <alignment horizontal="center" vertical="center"/>
    </xf>
    <xf numFmtId="3" fontId="5" fillId="8" borderId="1" xfId="0" applyFont="1" applyFill="1" applyBorder="1" applyAlignment="1">
      <alignment horizontal="center" vertical="center"/>
    </xf>
    <xf numFmtId="3" fontId="5" fillId="8" borderId="2" xfId="0" applyFont="1" applyFill="1" applyBorder="1" applyAlignment="1">
      <alignment horizontal="center" vertical="center"/>
    </xf>
    <xf numFmtId="3" fontId="5" fillId="8" borderId="3" xfId="0" applyFont="1" applyFill="1" applyBorder="1" applyAlignment="1">
      <alignment horizontal="center"/>
    </xf>
    <xf numFmtId="3" fontId="5" fillId="8" borderId="4" xfId="0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/>
    </xf>
    <xf numFmtId="165" fontId="17" fillId="8" borderId="1" xfId="1" applyNumberFormat="1" applyFont="1" applyFill="1" applyBorder="1" applyAlignment="1">
      <alignment horizontal="center" vertical="center"/>
    </xf>
    <xf numFmtId="3" fontId="17" fillId="8" borderId="1" xfId="1" applyNumberFormat="1" applyFont="1" applyFill="1" applyBorder="1" applyAlignment="1">
      <alignment horizontal="center" vertical="center" wrapText="1"/>
    </xf>
    <xf numFmtId="3" fontId="17" fillId="8" borderId="2" xfId="1" applyNumberFormat="1" applyFont="1" applyFill="1" applyBorder="1" applyAlignment="1">
      <alignment horizontal="center" vertical="center"/>
    </xf>
    <xf numFmtId="3" fontId="17" fillId="8" borderId="4" xfId="1" applyNumberFormat="1" applyFont="1" applyFill="1" applyBorder="1" applyAlignment="1">
      <alignment horizontal="center" vertical="center"/>
    </xf>
    <xf numFmtId="3" fontId="17" fillId="8" borderId="1" xfId="0" applyNumberFormat="1" applyFont="1" applyFill="1" applyBorder="1" applyAlignment="1">
      <alignment horizontal="center" vertical="center" wrapText="1"/>
    </xf>
    <xf numFmtId="3" fontId="16" fillId="8" borderId="2" xfId="0" applyNumberFormat="1" applyFont="1" applyFill="1" applyBorder="1" applyAlignment="1">
      <alignment horizontal="center" vertical="center"/>
    </xf>
    <xf numFmtId="1" fontId="55" fillId="8" borderId="40" xfId="0" applyNumberFormat="1" applyFont="1" applyFill="1" applyBorder="1" applyAlignment="1">
      <alignment horizontal="left"/>
    </xf>
    <xf numFmtId="3" fontId="5" fillId="8" borderId="43" xfId="0" applyFont="1" applyFill="1" applyBorder="1"/>
    <xf numFmtId="3" fontId="5" fillId="8" borderId="39" xfId="0" applyFont="1" applyFill="1" applyBorder="1"/>
    <xf numFmtId="3" fontId="5" fillId="8" borderId="6" xfId="0" applyFont="1" applyFill="1" applyBorder="1" applyAlignment="1">
      <alignment horizontal="center"/>
    </xf>
    <xf numFmtId="3" fontId="5" fillId="8" borderId="34" xfId="0" applyFont="1" applyFill="1" applyBorder="1" applyAlignment="1">
      <alignment horizontal="center"/>
    </xf>
    <xf numFmtId="1" fontId="47" fillId="0" borderId="31" xfId="0" applyNumberFormat="1" applyFont="1" applyFill="1" applyBorder="1" applyAlignment="1">
      <alignment horizontal="left"/>
    </xf>
    <xf numFmtId="3" fontId="4" fillId="0" borderId="32" xfId="0" applyFont="1" applyFill="1" applyBorder="1"/>
    <xf numFmtId="3" fontId="4" fillId="0" borderId="29" xfId="0" applyFont="1" applyFill="1" applyBorder="1"/>
    <xf numFmtId="3" fontId="8" fillId="0" borderId="27" xfId="0" applyNumberFormat="1" applyFont="1" applyFill="1" applyBorder="1" applyAlignment="1">
      <alignment horizontal="right"/>
    </xf>
    <xf numFmtId="3" fontId="8" fillId="0" borderId="33" xfId="0" applyNumberFormat="1" applyFont="1" applyFill="1" applyBorder="1" applyAlignment="1">
      <alignment horizontal="right"/>
    </xf>
    <xf numFmtId="1" fontId="47" fillId="0" borderId="7" xfId="0" applyNumberFormat="1" applyFont="1" applyFill="1" applyBorder="1" applyAlignment="1">
      <alignment horizontal="left"/>
    </xf>
    <xf numFmtId="3" fontId="1" fillId="0" borderId="0" xfId="0" applyFont="1" applyFill="1" applyBorder="1" applyAlignment="1"/>
    <xf numFmtId="3" fontId="1" fillId="0" borderId="14" xfId="0" applyFont="1" applyFill="1" applyBorder="1" applyAlignment="1"/>
    <xf numFmtId="3" fontId="8" fillId="0" borderId="6" xfId="0" applyFont="1" applyFill="1" applyBorder="1" applyAlignment="1">
      <alignment horizontal="right"/>
    </xf>
    <xf numFmtId="3" fontId="8" fillId="0" borderId="34" xfId="0" applyNumberFormat="1" applyFont="1" applyFill="1" applyBorder="1" applyAlignment="1">
      <alignment horizontal="right"/>
    </xf>
    <xf numFmtId="3" fontId="13" fillId="0" borderId="10" xfId="0" applyFont="1" applyFill="1" applyBorder="1" applyAlignment="1"/>
    <xf numFmtId="3" fontId="3" fillId="0" borderId="19" xfId="0" applyFont="1" applyFill="1" applyBorder="1" applyAlignment="1"/>
    <xf numFmtId="3" fontId="3" fillId="0" borderId="19" xfId="0" applyFont="1" applyFill="1" applyBorder="1" applyAlignment="1">
      <alignment horizontal="right"/>
    </xf>
    <xf numFmtId="3" fontId="2" fillId="0" borderId="19" xfId="0" applyFont="1" applyFill="1" applyBorder="1" applyAlignment="1">
      <alignment horizontal="right"/>
    </xf>
    <xf numFmtId="3" fontId="8" fillId="0" borderId="11" xfId="0" applyFont="1" applyFill="1" applyBorder="1" applyAlignment="1">
      <alignment horizontal="right"/>
    </xf>
    <xf numFmtId="3" fontId="3" fillId="0" borderId="30" xfId="0" applyFont="1" applyFill="1" applyBorder="1" applyAlignment="1">
      <alignment horizontal="right"/>
    </xf>
    <xf numFmtId="3" fontId="16" fillId="0" borderId="0" xfId="1" applyNumberFormat="1" applyFont="1" applyFill="1" applyAlignment="1">
      <alignment horizontal="right"/>
    </xf>
    <xf numFmtId="3" fontId="9" fillId="0" borderId="5" xfId="0" applyFont="1" applyFill="1" applyBorder="1"/>
    <xf numFmtId="0" fontId="0" fillId="0" borderId="38" xfId="2" applyFont="1" applyFill="1" applyBorder="1"/>
    <xf numFmtId="3" fontId="7" fillId="0" borderId="38" xfId="1" applyNumberFormat="1" applyFont="1" applyFill="1" applyBorder="1"/>
    <xf numFmtId="3" fontId="7" fillId="7" borderId="27" xfId="0" applyNumberFormat="1" applyFont="1" applyFill="1" applyBorder="1"/>
    <xf numFmtId="164" fontId="7" fillId="7" borderId="33" xfId="0" applyNumberFormat="1" applyFont="1" applyFill="1" applyBorder="1"/>
    <xf numFmtId="3" fontId="9" fillId="0" borderId="25" xfId="0" applyFont="1" applyFill="1" applyBorder="1" applyAlignment="1">
      <alignment horizontal="right"/>
    </xf>
    <xf numFmtId="0" fontId="20" fillId="0" borderId="5" xfId="1" applyFont="1" applyFill="1" applyBorder="1"/>
    <xf numFmtId="3" fontId="21" fillId="0" borderId="6" xfId="1" applyNumberFormat="1" applyFont="1" applyFill="1" applyBorder="1" applyAlignment="1">
      <alignment horizontal="center"/>
    </xf>
    <xf numFmtId="0" fontId="25" fillId="0" borderId="5" xfId="1" applyFont="1" applyFill="1" applyBorder="1" applyAlignment="1">
      <alignment wrapText="1"/>
    </xf>
    <xf numFmtId="165" fontId="16" fillId="0" borderId="6" xfId="1" applyNumberFormat="1" applyFont="1" applyFill="1" applyBorder="1" applyAlignment="1">
      <alignment horizontal="center"/>
    </xf>
    <xf numFmtId="0" fontId="16" fillId="0" borderId="8" xfId="1" applyFont="1" applyFill="1" applyBorder="1"/>
    <xf numFmtId="165" fontId="16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/>
    <xf numFmtId="1" fontId="21" fillId="0" borderId="16" xfId="1" applyNumberFormat="1" applyFont="1" applyFill="1" applyBorder="1" applyAlignment="1">
      <alignment horizontal="center"/>
    </xf>
    <xf numFmtId="0" fontId="20" fillId="0" borderId="7" xfId="1" applyFont="1" applyFill="1" applyBorder="1"/>
    <xf numFmtId="1" fontId="21" fillId="0" borderId="6" xfId="1" applyNumberFormat="1" applyFont="1" applyFill="1" applyBorder="1" applyAlignment="1">
      <alignment horizontal="center"/>
    </xf>
    <xf numFmtId="0" fontId="20" fillId="0" borderId="56" xfId="1" applyFont="1" applyFill="1" applyBorder="1"/>
    <xf numFmtId="3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3" fontId="21" fillId="0" borderId="16" xfId="1" applyNumberFormat="1" applyFont="1" applyFill="1" applyBorder="1" applyAlignment="1">
      <alignment horizontal="center"/>
    </xf>
    <xf numFmtId="0" fontId="20" fillId="0" borderId="5" xfId="1" applyFont="1" applyFill="1" applyBorder="1" applyAlignment="1">
      <alignment wrapText="1"/>
    </xf>
    <xf numFmtId="0" fontId="20" fillId="0" borderId="15" xfId="1" applyFont="1" applyFill="1" applyBorder="1" applyAlignment="1"/>
    <xf numFmtId="3" fontId="21" fillId="0" borderId="0" xfId="1" applyNumberFormat="1" applyFont="1" applyFill="1" applyBorder="1" applyAlignment="1">
      <alignment horizontal="center"/>
    </xf>
    <xf numFmtId="3" fontId="9" fillId="0" borderId="0" xfId="0" applyFont="1" applyFill="1" applyBorder="1" applyAlignment="1">
      <alignment horizontal="right"/>
    </xf>
    <xf numFmtId="0" fontId="16" fillId="0" borderId="54" xfId="1" applyFont="1" applyFill="1" applyBorder="1"/>
    <xf numFmtId="3" fontId="21" fillId="0" borderId="18" xfId="1" applyNumberFormat="1" applyFont="1" applyFill="1" applyBorder="1" applyAlignment="1">
      <alignment horizontal="center"/>
    </xf>
    <xf numFmtId="164" fontId="13" fillId="7" borderId="57" xfId="0" applyNumberFormat="1" applyFont="1" applyFill="1" applyBorder="1" applyAlignment="1">
      <alignment vertical="center"/>
    </xf>
    <xf numFmtId="0" fontId="20" fillId="0" borderId="17" xfId="1" applyFont="1" applyFill="1" applyBorder="1" applyAlignment="1">
      <alignment wrapText="1"/>
    </xf>
    <xf numFmtId="165" fontId="20" fillId="0" borderId="42" xfId="1" applyNumberFormat="1" applyFont="1" applyFill="1" applyBorder="1" applyAlignment="1">
      <alignment horizontal="center"/>
    </xf>
    <xf numFmtId="3" fontId="20" fillId="0" borderId="18" xfId="1" applyNumberFormat="1" applyFont="1" applyFill="1" applyBorder="1"/>
    <xf numFmtId="3" fontId="13" fillId="7" borderId="59" xfId="0" applyNumberFormat="1" applyFont="1" applyFill="1" applyBorder="1" applyAlignment="1">
      <alignment vertical="center"/>
    </xf>
    <xf numFmtId="164" fontId="13" fillId="7" borderId="60" xfId="0" applyNumberFormat="1" applyFont="1" applyFill="1" applyBorder="1" applyAlignment="1">
      <alignment vertical="center"/>
    </xf>
    <xf numFmtId="3" fontId="13" fillId="0" borderId="24" xfId="0" applyFont="1" applyFill="1" applyBorder="1" applyAlignment="1">
      <alignment horizontal="right"/>
    </xf>
    <xf numFmtId="3" fontId="13" fillId="0" borderId="23" xfId="0" applyFont="1" applyFill="1" applyBorder="1" applyAlignment="1">
      <alignment horizontal="right"/>
    </xf>
    <xf numFmtId="3" fontId="9" fillId="0" borderId="18" xfId="0" applyNumberFormat="1" applyFont="1" applyFill="1" applyBorder="1"/>
    <xf numFmtId="164" fontId="9" fillId="0" borderId="22" xfId="0" applyNumberFormat="1" applyFont="1" applyFill="1" applyBorder="1"/>
    <xf numFmtId="3" fontId="20" fillId="0" borderId="16" xfId="1" applyNumberFormat="1" applyFont="1" applyFill="1" applyBorder="1"/>
    <xf numFmtId="3" fontId="13" fillId="0" borderId="21" xfId="0" applyFont="1" applyFill="1" applyBorder="1" applyAlignment="1">
      <alignment horizontal="right"/>
    </xf>
    <xf numFmtId="3" fontId="9" fillId="0" borderId="21" xfId="0" applyFont="1" applyFill="1" applyBorder="1" applyAlignment="1">
      <alignment horizontal="right"/>
    </xf>
    <xf numFmtId="3" fontId="7" fillId="0" borderId="9" xfId="1" applyNumberFormat="1" applyFont="1" applyFill="1" applyBorder="1"/>
    <xf numFmtId="3" fontId="20" fillId="0" borderId="6" xfId="1" applyNumberFormat="1" applyFont="1" applyFill="1" applyBorder="1"/>
    <xf numFmtId="3" fontId="25" fillId="0" borderId="6" xfId="1" applyNumberFormat="1" applyFont="1" applyFill="1" applyBorder="1"/>
    <xf numFmtId="3" fontId="26" fillId="0" borderId="21" xfId="0" applyFont="1" applyFill="1" applyBorder="1" applyAlignment="1">
      <alignment horizontal="right"/>
    </xf>
    <xf numFmtId="3" fontId="26" fillId="0" borderId="25" xfId="0" applyFont="1" applyFill="1" applyBorder="1" applyAlignment="1">
      <alignment horizontal="right"/>
    </xf>
    <xf numFmtId="3" fontId="13" fillId="0" borderId="55" xfId="0" applyFont="1" applyFill="1" applyBorder="1" applyAlignment="1">
      <alignment horizontal="right"/>
    </xf>
    <xf numFmtId="3" fontId="20" fillId="0" borderId="9" xfId="1" applyNumberFormat="1" applyFont="1" applyFill="1" applyBorder="1"/>
    <xf numFmtId="3" fontId="9" fillId="0" borderId="62" xfId="0" applyNumberFormat="1" applyFont="1" applyFill="1" applyBorder="1"/>
    <xf numFmtId="3" fontId="9" fillId="0" borderId="61" xfId="0" applyNumberFormat="1" applyFont="1" applyFill="1" applyBorder="1"/>
    <xf numFmtId="3" fontId="7" fillId="0" borderId="6" xfId="0" applyNumberFormat="1" applyFont="1" applyFill="1" applyBorder="1"/>
    <xf numFmtId="164" fontId="7" fillId="0" borderId="21" xfId="0" applyNumberFormat="1" applyFont="1" applyFill="1" applyBorder="1"/>
    <xf numFmtId="3" fontId="7" fillId="0" borderId="18" xfId="1" applyNumberFormat="1" applyFont="1" applyFill="1" applyBorder="1"/>
    <xf numFmtId="3" fontId="9" fillId="0" borderId="22" xfId="0" applyFont="1" applyFill="1" applyBorder="1" applyAlignment="1">
      <alignment horizontal="right"/>
    </xf>
    <xf numFmtId="3" fontId="7" fillId="0" borderId="8" xfId="0" applyFont="1" applyFill="1" applyBorder="1" applyAlignment="1">
      <alignment wrapText="1"/>
    </xf>
    <xf numFmtId="3" fontId="9" fillId="0" borderId="9" xfId="0" applyNumberFormat="1" applyFont="1" applyFill="1" applyBorder="1" applyAlignment="1">
      <alignment vertical="top"/>
    </xf>
    <xf numFmtId="3" fontId="9" fillId="7" borderId="9" xfId="0" applyNumberFormat="1" applyFont="1" applyFill="1" applyBorder="1" applyAlignment="1">
      <alignment vertical="top"/>
    </xf>
    <xf numFmtId="3" fontId="5" fillId="8" borderId="11" xfId="0" applyFont="1" applyFill="1" applyBorder="1" applyAlignment="1">
      <alignment horizontal="center" vertical="center"/>
    </xf>
    <xf numFmtId="3" fontId="9" fillId="0" borderId="64" xfId="0" applyNumberFormat="1" applyFont="1" applyFill="1" applyBorder="1"/>
    <xf numFmtId="1" fontId="7" fillId="0" borderId="0" xfId="0" applyNumberFormat="1" applyFont="1" applyFill="1" applyAlignment="1">
      <alignment horizontal="justify" wrapText="1"/>
    </xf>
    <xf numFmtId="10" fontId="0" fillId="0" borderId="0" xfId="3" applyNumberFormat="1" applyFont="1" applyFill="1"/>
    <xf numFmtId="3" fontId="5" fillId="0" borderId="0" xfId="0" applyFont="1" applyFill="1" applyAlignment="1">
      <alignment wrapText="1"/>
    </xf>
    <xf numFmtId="3" fontId="1" fillId="0" borderId="0" xfId="0" applyFont="1" applyFill="1"/>
    <xf numFmtId="3" fontId="6" fillId="0" borderId="0" xfId="0" applyFont="1" applyFill="1" applyAlignment="1"/>
    <xf numFmtId="3" fontId="25" fillId="0" borderId="67" xfId="0" applyFont="1" applyFill="1" applyBorder="1" applyAlignment="1">
      <alignment horizontal="left"/>
    </xf>
    <xf numFmtId="3" fontId="25" fillId="0" borderId="67" xfId="0" applyFont="1" applyFill="1" applyBorder="1" applyAlignment="1">
      <alignment horizontal="left" wrapText="1"/>
    </xf>
    <xf numFmtId="1" fontId="13" fillId="7" borderId="69" xfId="0" applyNumberFormat="1" applyFont="1" applyFill="1" applyBorder="1" applyAlignment="1">
      <alignment vertical="center" wrapText="1"/>
    </xf>
    <xf numFmtId="3" fontId="13" fillId="7" borderId="70" xfId="0" applyFont="1" applyFill="1" applyBorder="1" applyAlignment="1">
      <alignment vertical="center"/>
    </xf>
    <xf numFmtId="166" fontId="0" fillId="0" borderId="0" xfId="0" applyNumberFormat="1" applyFill="1"/>
    <xf numFmtId="3" fontId="8" fillId="0" borderId="70" xfId="0" applyNumberFormat="1" applyFont="1" applyFill="1" applyBorder="1"/>
    <xf numFmtId="164" fontId="13" fillId="0" borderId="71" xfId="0" applyNumberFormat="1" applyFont="1" applyBorder="1" applyAlignment="1">
      <alignment horizontal="right"/>
    </xf>
    <xf numFmtId="3" fontId="8" fillId="0" borderId="73" xfId="0" applyNumberFormat="1" applyFont="1" applyFill="1" applyBorder="1"/>
    <xf numFmtId="3" fontId="1" fillId="0" borderId="72" xfId="0" applyFont="1" applyFill="1" applyBorder="1" applyAlignment="1">
      <alignment horizontal="center"/>
    </xf>
    <xf numFmtId="164" fontId="13" fillId="0" borderId="72" xfId="0" applyNumberFormat="1" applyFont="1" applyBorder="1" applyAlignment="1">
      <alignment horizontal="right"/>
    </xf>
    <xf numFmtId="164" fontId="7" fillId="7" borderId="72" xfId="0" applyNumberFormat="1" applyFont="1" applyFill="1" applyBorder="1"/>
    <xf numFmtId="164" fontId="13" fillId="7" borderId="72" xfId="0" applyNumberFormat="1" applyFont="1" applyFill="1" applyBorder="1" applyAlignment="1">
      <alignment vertical="center"/>
    </xf>
    <xf numFmtId="3" fontId="5" fillId="0" borderId="72" xfId="0" applyFont="1" applyFill="1" applyBorder="1" applyAlignment="1">
      <alignment horizontal="center" vertical="center" wrapText="1"/>
    </xf>
    <xf numFmtId="3" fontId="5" fillId="0" borderId="72" xfId="0" applyFont="1" applyFill="1" applyBorder="1" applyAlignment="1">
      <alignment horizontal="center" vertical="center"/>
    </xf>
    <xf numFmtId="164" fontId="9" fillId="0" borderId="72" xfId="0" applyNumberFormat="1" applyFont="1" applyFill="1" applyBorder="1" applyAlignment="1">
      <alignment horizontal="right"/>
    </xf>
    <xf numFmtId="164" fontId="13" fillId="0" borderId="72" xfId="0" applyNumberFormat="1" applyFont="1" applyFill="1" applyBorder="1" applyAlignment="1">
      <alignment horizontal="right"/>
    </xf>
    <xf numFmtId="3" fontId="16" fillId="0" borderId="72" xfId="0" applyFont="1" applyFill="1" applyBorder="1" applyAlignment="1">
      <alignment horizontal="center" vertical="center"/>
    </xf>
    <xf numFmtId="3" fontId="17" fillId="0" borderId="72" xfId="1" applyNumberFormat="1" applyFont="1" applyFill="1" applyBorder="1" applyAlignment="1">
      <alignment horizontal="center" vertical="center"/>
    </xf>
    <xf numFmtId="3" fontId="0" fillId="0" borderId="0" xfId="0" applyFont="1" applyFill="1" applyBorder="1"/>
    <xf numFmtId="164" fontId="13" fillId="7" borderId="71" xfId="0" applyNumberFormat="1" applyFont="1" applyFill="1" applyBorder="1" applyAlignment="1">
      <alignment vertical="center"/>
    </xf>
    <xf numFmtId="3" fontId="7" fillId="0" borderId="67" xfId="0" applyFont="1" applyFill="1" applyBorder="1"/>
    <xf numFmtId="3" fontId="9" fillId="0" borderId="67" xfId="0" applyFont="1" applyFill="1" applyBorder="1"/>
    <xf numFmtId="164" fontId="9" fillId="0" borderId="78" xfId="0" applyNumberFormat="1" applyFont="1" applyBorder="1" applyAlignment="1">
      <alignment horizontal="right"/>
    </xf>
    <xf numFmtId="164" fontId="9" fillId="0" borderId="72" xfId="0" applyNumberFormat="1" applyFont="1" applyFill="1" applyBorder="1" applyAlignment="1">
      <alignment horizontal="right" wrapText="1"/>
    </xf>
    <xf numFmtId="3" fontId="25" fillId="0" borderId="77" xfId="0" applyFont="1" applyFill="1" applyBorder="1" applyAlignment="1">
      <alignment horizontal="left"/>
    </xf>
    <xf numFmtId="164" fontId="9" fillId="0" borderId="79" xfId="0" applyNumberFormat="1" applyFont="1" applyBorder="1" applyAlignment="1">
      <alignment horizontal="right"/>
    </xf>
    <xf numFmtId="3" fontId="5" fillId="8" borderId="28" xfId="0" applyFont="1" applyFill="1" applyBorder="1" applyAlignment="1">
      <alignment horizontal="center" vertical="center" wrapText="1"/>
    </xf>
    <xf numFmtId="3" fontId="5" fillId="8" borderId="83" xfId="0" applyFont="1" applyFill="1" applyBorder="1" applyAlignment="1">
      <alignment horizontal="center" vertical="center" wrapText="1"/>
    </xf>
    <xf numFmtId="3" fontId="7" fillId="0" borderId="84" xfId="0" applyFont="1" applyFill="1" applyBorder="1"/>
    <xf numFmtId="3" fontId="5" fillId="8" borderId="85" xfId="0" applyFont="1" applyFill="1" applyBorder="1" applyAlignment="1">
      <alignment horizontal="center" vertical="center"/>
    </xf>
    <xf numFmtId="3" fontId="1" fillId="8" borderId="80" xfId="0" applyFont="1" applyFill="1" applyBorder="1" applyAlignment="1">
      <alignment horizontal="center" vertical="center" wrapText="1"/>
    </xf>
    <xf numFmtId="3" fontId="5" fillId="8" borderId="86" xfId="0" applyFont="1" applyFill="1" applyBorder="1" applyAlignment="1">
      <alignment horizontal="center"/>
    </xf>
    <xf numFmtId="3" fontId="5" fillId="8" borderId="90" xfId="0" applyFont="1" applyFill="1" applyBorder="1" applyAlignment="1">
      <alignment horizontal="center" vertical="center" wrapText="1"/>
    </xf>
    <xf numFmtId="3" fontId="9" fillId="0" borderId="67" xfId="0" applyNumberFormat="1" applyFont="1" applyFill="1" applyBorder="1"/>
    <xf numFmtId="3" fontId="9" fillId="0" borderId="77" xfId="0" applyNumberFormat="1" applyFont="1" applyFill="1" applyBorder="1"/>
    <xf numFmtId="3" fontId="0" fillId="0" borderId="65" xfId="0" applyFill="1" applyBorder="1"/>
    <xf numFmtId="3" fontId="5" fillId="8" borderId="91" xfId="0" applyFont="1" applyFill="1" applyBorder="1" applyAlignment="1">
      <alignment horizontal="center" vertical="center"/>
    </xf>
    <xf numFmtId="3" fontId="5" fillId="8" borderId="16" xfId="0" applyFont="1" applyFill="1" applyBorder="1" applyAlignment="1">
      <alignment horizontal="center" vertical="center"/>
    </xf>
    <xf numFmtId="3" fontId="5" fillId="8" borderId="92" xfId="0" applyFont="1" applyFill="1" applyBorder="1" applyAlignment="1">
      <alignment horizontal="center" vertical="center"/>
    </xf>
    <xf numFmtId="3" fontId="5" fillId="8" borderId="86" xfId="0" applyFont="1" applyFill="1" applyBorder="1" applyAlignment="1">
      <alignment horizontal="center" vertical="center"/>
    </xf>
    <xf numFmtId="164" fontId="9" fillId="0" borderId="68" xfId="0" applyNumberFormat="1" applyFont="1" applyFill="1" applyBorder="1" applyAlignment="1">
      <alignment horizontal="right"/>
    </xf>
    <xf numFmtId="164" fontId="26" fillId="0" borderId="79" xfId="0" applyNumberFormat="1" applyFont="1" applyBorder="1" applyAlignment="1">
      <alignment horizontal="right"/>
    </xf>
    <xf numFmtId="164" fontId="26" fillId="0" borderId="76" xfId="0" applyNumberFormat="1" applyFont="1" applyBorder="1" applyAlignment="1">
      <alignment horizontal="right"/>
    </xf>
    <xf numFmtId="3" fontId="17" fillId="8" borderId="81" xfId="0" applyFont="1" applyFill="1" applyBorder="1" applyAlignment="1">
      <alignment horizontal="center" vertical="center" wrapText="1"/>
    </xf>
    <xf numFmtId="3" fontId="16" fillId="8" borderId="82" xfId="0" applyFont="1" applyFill="1" applyBorder="1" applyAlignment="1">
      <alignment horizontal="center" vertical="center"/>
    </xf>
    <xf numFmtId="3" fontId="17" fillId="8" borderId="80" xfId="0" applyFont="1" applyFill="1" applyBorder="1" applyAlignment="1">
      <alignment horizontal="center" vertical="center" wrapText="1"/>
    </xf>
    <xf numFmtId="3" fontId="0" fillId="0" borderId="65" xfId="0" applyFont="1" applyFill="1" applyBorder="1"/>
    <xf numFmtId="3" fontId="0" fillId="7" borderId="65" xfId="0" applyFont="1" applyFill="1" applyBorder="1"/>
    <xf numFmtId="3" fontId="7" fillId="7" borderId="63" xfId="0" applyFont="1" applyFill="1" applyBorder="1"/>
    <xf numFmtId="3" fontId="9" fillId="0" borderId="63" xfId="0" applyNumberFormat="1" applyFont="1" applyFill="1" applyBorder="1"/>
    <xf numFmtId="1" fontId="13" fillId="7" borderId="66" xfId="0" applyNumberFormat="1" applyFont="1" applyFill="1" applyBorder="1" applyAlignment="1">
      <alignment vertical="center" wrapText="1"/>
    </xf>
    <xf numFmtId="166" fontId="13" fillId="7" borderId="52" xfId="0" applyNumberFormat="1" applyFont="1" applyFill="1" applyBorder="1" applyAlignment="1">
      <alignment vertical="center"/>
    </xf>
    <xf numFmtId="164" fontId="13" fillId="7" borderId="53" xfId="0" applyNumberFormat="1" applyFont="1" applyFill="1" applyBorder="1" applyAlignment="1">
      <alignment vertical="center"/>
    </xf>
    <xf numFmtId="3" fontId="0" fillId="7" borderId="65" xfId="0" applyFill="1" applyBorder="1"/>
    <xf numFmtId="3" fontId="13" fillId="7" borderId="46" xfId="0" applyFont="1" applyFill="1" applyBorder="1" applyAlignment="1">
      <alignment vertical="center"/>
    </xf>
    <xf numFmtId="3" fontId="13" fillId="7" borderId="27" xfId="0" applyFont="1" applyFill="1" applyBorder="1" applyAlignment="1">
      <alignment vertical="center"/>
    </xf>
    <xf numFmtId="164" fontId="13" fillId="7" borderId="47" xfId="0" applyNumberFormat="1" applyFont="1" applyFill="1" applyBorder="1" applyAlignment="1">
      <alignment vertical="center"/>
    </xf>
    <xf numFmtId="166" fontId="13" fillId="7" borderId="66" xfId="0" applyNumberFormat="1" applyFont="1" applyFill="1" applyBorder="1" applyAlignment="1">
      <alignment vertical="center"/>
    </xf>
    <xf numFmtId="166" fontId="13" fillId="7" borderId="93" xfId="0" applyNumberFormat="1" applyFont="1" applyFill="1" applyBorder="1" applyAlignment="1">
      <alignment vertical="center"/>
    </xf>
    <xf numFmtId="166" fontId="13" fillId="7" borderId="94" xfId="0" applyNumberFormat="1" applyFont="1" applyFill="1" applyBorder="1" applyAlignment="1">
      <alignment vertical="center"/>
    </xf>
    <xf numFmtId="164" fontId="13" fillId="7" borderId="95" xfId="0" applyNumberFormat="1" applyFont="1" applyFill="1" applyBorder="1" applyAlignment="1">
      <alignment vertical="center"/>
    </xf>
    <xf numFmtId="3" fontId="7" fillId="0" borderId="74" xfId="0" applyFont="1" applyFill="1" applyBorder="1"/>
    <xf numFmtId="3" fontId="9" fillId="0" borderId="84" xfId="0" applyNumberFormat="1" applyFont="1" applyFill="1" applyBorder="1"/>
    <xf numFmtId="3" fontId="5" fillId="8" borderId="86" xfId="0" applyFont="1" applyFill="1" applyBorder="1" applyAlignment="1">
      <alignment horizontal="center" vertical="center" wrapText="1"/>
    </xf>
    <xf numFmtId="3" fontId="5" fillId="8" borderId="11" xfId="0" applyFont="1" applyFill="1" applyBorder="1" applyAlignment="1">
      <alignment horizontal="center" vertical="center" wrapText="1"/>
    </xf>
    <xf numFmtId="3" fontId="5" fillId="8" borderId="85" xfId="0" applyFont="1" applyFill="1" applyBorder="1" applyAlignment="1">
      <alignment horizontal="center" vertical="center" wrapText="1"/>
    </xf>
    <xf numFmtId="3" fontId="5" fillId="8" borderId="88" xfId="0" applyFont="1" applyFill="1" applyBorder="1" applyAlignment="1">
      <alignment horizontal="center" vertical="center" wrapText="1"/>
    </xf>
    <xf numFmtId="3" fontId="5" fillId="8" borderId="89" xfId="0" applyFont="1" applyFill="1" applyBorder="1" applyAlignment="1">
      <alignment horizontal="center" vertical="center" wrapText="1"/>
    </xf>
    <xf numFmtId="3" fontId="5" fillId="8" borderId="87" xfId="0" applyFont="1" applyFill="1" applyBorder="1" applyAlignment="1">
      <alignment horizontal="center" vertical="center" wrapText="1"/>
    </xf>
    <xf numFmtId="164" fontId="7" fillId="7" borderId="75" xfId="0" applyNumberFormat="1" applyFont="1" applyFill="1" applyBorder="1"/>
    <xf numFmtId="164" fontId="7" fillId="7" borderId="78" xfId="0" applyNumberFormat="1" applyFont="1" applyFill="1" applyBorder="1"/>
    <xf numFmtId="3" fontId="7" fillId="7" borderId="74" xfId="0" applyFont="1" applyFill="1" applyBorder="1" applyAlignment="1">
      <alignment wrapText="1"/>
    </xf>
    <xf numFmtId="3" fontId="7" fillId="7" borderId="77" xfId="0" applyFont="1" applyFill="1" applyBorder="1" applyAlignment="1">
      <alignment wrapText="1"/>
    </xf>
    <xf numFmtId="3" fontId="13" fillId="0" borderId="66" xfId="0" applyFont="1" applyFill="1" applyBorder="1"/>
    <xf numFmtId="3" fontId="13" fillId="7" borderId="69" xfId="0" applyFont="1" applyFill="1" applyBorder="1" applyAlignment="1">
      <alignment vertical="center"/>
    </xf>
    <xf numFmtId="1" fontId="13" fillId="7" borderId="93" xfId="0" applyNumberFormat="1" applyFont="1" applyFill="1" applyBorder="1" applyAlignment="1">
      <alignment vertical="center" wrapText="1"/>
    </xf>
    <xf numFmtId="166" fontId="13" fillId="7" borderId="95" xfId="0" applyNumberFormat="1" applyFont="1" applyFill="1" applyBorder="1" applyAlignment="1">
      <alignment vertical="center"/>
    </xf>
    <xf numFmtId="164" fontId="2" fillId="0" borderId="72" xfId="0" applyNumberFormat="1" applyFont="1" applyFill="1" applyBorder="1" applyAlignment="1">
      <alignment horizontal="left"/>
    </xf>
    <xf numFmtId="164" fontId="2" fillId="0" borderId="68" xfId="0" applyNumberFormat="1" applyFont="1" applyFill="1" applyBorder="1" applyAlignment="1">
      <alignment horizontal="left"/>
    </xf>
    <xf numFmtId="3" fontId="2" fillId="0" borderId="0" xfId="0" applyFont="1" applyFill="1" applyAlignment="1">
      <alignment horizontal="left"/>
    </xf>
    <xf numFmtId="3" fontId="7" fillId="0" borderId="61" xfId="0" applyNumberFormat="1" applyFont="1" applyFill="1" applyBorder="1"/>
    <xf numFmtId="3" fontId="20" fillId="0" borderId="69" xfId="0" applyFont="1" applyFill="1" applyBorder="1"/>
    <xf numFmtId="3" fontId="32" fillId="0" borderId="70" xfId="0" applyNumberFormat="1" applyFont="1" applyFill="1" applyBorder="1"/>
    <xf numFmtId="164" fontId="20" fillId="0" borderId="71" xfId="0" applyNumberFormat="1" applyFont="1" applyBorder="1" applyAlignment="1">
      <alignment horizontal="right"/>
    </xf>
    <xf numFmtId="3" fontId="25" fillId="0" borderId="67" xfId="0" applyFont="1" applyFill="1" applyBorder="1"/>
    <xf numFmtId="3" fontId="25" fillId="0" borderId="61" xfId="0" applyNumberFormat="1" applyFont="1" applyFill="1" applyBorder="1" applyAlignment="1">
      <alignment horizontal="left"/>
    </xf>
    <xf numFmtId="3" fontId="25" fillId="0" borderId="84" xfId="0" applyFont="1" applyFill="1" applyBorder="1"/>
    <xf numFmtId="3" fontId="25" fillId="0" borderId="84" xfId="0" applyFont="1" applyFill="1" applyBorder="1" applyAlignment="1"/>
    <xf numFmtId="3" fontId="25" fillId="0" borderId="67" xfId="0" applyNumberFormat="1" applyFont="1" applyFill="1" applyBorder="1" applyAlignment="1">
      <alignment horizontal="left"/>
    </xf>
    <xf numFmtId="3" fontId="7" fillId="0" borderId="76" xfId="0" applyNumberFormat="1" applyFont="1" applyFill="1" applyBorder="1"/>
    <xf numFmtId="3" fontId="25" fillId="0" borderId="76" xfId="0" applyNumberFormat="1" applyFont="1" applyFill="1" applyBorder="1" applyAlignment="1">
      <alignment horizontal="left"/>
    </xf>
    <xf numFmtId="3" fontId="26" fillId="0" borderId="77" xfId="0" applyNumberFormat="1" applyFont="1" applyFill="1" applyBorder="1" applyAlignment="1">
      <alignment horizontal="left"/>
    </xf>
    <xf numFmtId="3" fontId="26" fillId="0" borderId="63" xfId="0" applyNumberFormat="1" applyFont="1" applyFill="1" applyBorder="1" applyAlignment="1">
      <alignment horizontal="left"/>
    </xf>
    <xf numFmtId="3" fontId="25" fillId="0" borderId="63" xfId="0" applyNumberFormat="1" applyFont="1" applyFill="1" applyBorder="1" applyAlignment="1">
      <alignment horizontal="left"/>
    </xf>
    <xf numFmtId="0" fontId="20" fillId="0" borderId="5" xfId="1" applyFont="1" applyFill="1" applyBorder="1" applyAlignment="1"/>
    <xf numFmtId="0" fontId="0" fillId="0" borderId="8" xfId="2" applyFont="1" applyFill="1" applyBorder="1"/>
    <xf numFmtId="3" fontId="7" fillId="0" borderId="28" xfId="1" applyNumberFormat="1" applyFont="1" applyFill="1" applyBorder="1" applyAlignment="1">
      <alignment vertical="center"/>
    </xf>
    <xf numFmtId="164" fontId="7" fillId="0" borderId="24" xfId="0" applyNumberFormat="1" applyFont="1" applyFill="1" applyBorder="1"/>
    <xf numFmtId="0" fontId="0" fillId="0" borderId="5" xfId="2" applyFont="1" applyFill="1" applyBorder="1"/>
    <xf numFmtId="1" fontId="9" fillId="0" borderId="7" xfId="1" applyNumberFormat="1" applyFont="1" applyFill="1" applyBorder="1" applyAlignment="1">
      <alignment horizontal="left"/>
    </xf>
    <xf numFmtId="165" fontId="16" fillId="0" borderId="14" xfId="1" applyNumberFormat="1" applyFont="1" applyFill="1" applyBorder="1" applyAlignment="1">
      <alignment horizontal="center"/>
    </xf>
    <xf numFmtId="0" fontId="20" fillId="0" borderId="13" xfId="1" applyFont="1" applyFill="1" applyBorder="1"/>
    <xf numFmtId="165" fontId="21" fillId="0" borderId="16" xfId="1" applyNumberFormat="1" applyFont="1" applyFill="1" applyBorder="1" applyAlignment="1">
      <alignment horizontal="center"/>
    </xf>
    <xf numFmtId="3" fontId="7" fillId="0" borderId="6" xfId="1" applyNumberFormat="1" applyFont="1" applyFill="1" applyBorder="1" applyProtection="1">
      <protection locked="0"/>
    </xf>
    <xf numFmtId="3" fontId="7" fillId="0" borderId="9" xfId="1" applyNumberFormat="1" applyFont="1" applyFill="1" applyBorder="1" applyProtection="1">
      <protection locked="0"/>
    </xf>
    <xf numFmtId="3" fontId="16" fillId="0" borderId="6" xfId="1" applyNumberFormat="1" applyFont="1" applyFill="1" applyBorder="1" applyAlignment="1">
      <alignment horizontal="center"/>
    </xf>
    <xf numFmtId="3" fontId="16" fillId="0" borderId="14" xfId="1" applyNumberFormat="1" applyFont="1" applyFill="1" applyBorder="1" applyAlignment="1">
      <alignment horizontal="center"/>
    </xf>
    <xf numFmtId="0" fontId="26" fillId="0" borderId="5" xfId="1" applyFont="1" applyFill="1" applyBorder="1" applyAlignment="1">
      <alignment wrapText="1"/>
    </xf>
    <xf numFmtId="3" fontId="25" fillId="0" borderId="6" xfId="1" applyNumberFormat="1" applyFont="1" applyFill="1" applyBorder="1" applyAlignment="1">
      <alignment vertical="top"/>
    </xf>
    <xf numFmtId="3" fontId="9" fillId="0" borderId="21" xfId="0" applyFont="1" applyFill="1" applyBorder="1" applyAlignment="1">
      <alignment horizontal="right" vertical="top"/>
    </xf>
    <xf numFmtId="3" fontId="16" fillId="0" borderId="41" xfId="1" applyNumberFormat="1" applyFont="1" applyFill="1" applyBorder="1" applyAlignment="1">
      <alignment horizontal="center"/>
    </xf>
    <xf numFmtId="164" fontId="7" fillId="0" borderId="76" xfId="0" applyNumberFormat="1" applyFont="1" applyFill="1" applyBorder="1" applyAlignment="1">
      <alignment horizontal="right"/>
    </xf>
    <xf numFmtId="3" fontId="7" fillId="0" borderId="67" xfId="0" applyNumberFormat="1" applyFont="1" applyFill="1" applyBorder="1"/>
    <xf numFmtId="3" fontId="8" fillId="0" borderId="52" xfId="0" applyNumberFormat="1" applyFont="1" applyFill="1" applyBorder="1"/>
    <xf numFmtId="3" fontId="7" fillId="0" borderId="62" xfId="0" applyFont="1" applyFill="1" applyBorder="1"/>
    <xf numFmtId="3" fontId="7" fillId="0" borderId="63" xfId="0" applyFont="1" applyFill="1" applyBorder="1"/>
    <xf numFmtId="3" fontId="13" fillId="0" borderId="52" xfId="0" applyFont="1" applyFill="1" applyBorder="1" applyAlignment="1">
      <alignment vertical="center"/>
    </xf>
    <xf numFmtId="164" fontId="26" fillId="0" borderId="76" xfId="0" applyNumberFormat="1" applyFont="1" applyFill="1" applyBorder="1" applyAlignment="1">
      <alignment horizontal="right"/>
    </xf>
    <xf numFmtId="3" fontId="7" fillId="0" borderId="64" xfId="0" applyNumberFormat="1" applyFont="1" applyFill="1" applyBorder="1"/>
    <xf numFmtId="164" fontId="7" fillId="0" borderId="79" xfId="0" applyNumberFormat="1" applyFont="1" applyFill="1" applyBorder="1" applyAlignment="1">
      <alignment horizontal="right"/>
    </xf>
    <xf numFmtId="3" fontId="7" fillId="0" borderId="74" xfId="0" applyNumberFormat="1" applyFont="1" applyFill="1" applyBorder="1"/>
    <xf numFmtId="3" fontId="7" fillId="0" borderId="62" xfId="0" applyNumberFormat="1" applyFont="1" applyFill="1" applyBorder="1"/>
    <xf numFmtId="164" fontId="7" fillId="0" borderId="75" xfId="0" applyNumberFormat="1" applyFont="1" applyFill="1" applyBorder="1" applyAlignment="1">
      <alignment horizontal="right"/>
    </xf>
    <xf numFmtId="3" fontId="25" fillId="0" borderId="64" xfId="0" applyNumberFormat="1" applyFont="1" applyFill="1" applyBorder="1" applyAlignment="1">
      <alignment horizontal="left"/>
    </xf>
    <xf numFmtId="164" fontId="25" fillId="0" borderId="79" xfId="0" applyNumberFormat="1" applyFont="1" applyFill="1" applyBorder="1" applyAlignment="1">
      <alignment horizontal="right"/>
    </xf>
    <xf numFmtId="164" fontId="25" fillId="0" borderId="76" xfId="0" applyNumberFormat="1" applyFont="1" applyFill="1" applyBorder="1" applyAlignment="1">
      <alignment horizontal="left"/>
    </xf>
    <xf numFmtId="3" fontId="26" fillId="0" borderId="67" xfId="0" applyNumberFormat="1" applyFont="1" applyFill="1" applyBorder="1" applyAlignment="1">
      <alignment horizontal="left"/>
    </xf>
    <xf numFmtId="3" fontId="26" fillId="0" borderId="61" xfId="0" applyNumberFormat="1" applyFont="1" applyFill="1" applyBorder="1" applyAlignment="1">
      <alignment horizontal="left"/>
    </xf>
    <xf numFmtId="164" fontId="9" fillId="0" borderId="76" xfId="0" applyNumberFormat="1" applyFont="1" applyFill="1" applyBorder="1" applyAlignment="1">
      <alignment horizontal="right"/>
    </xf>
    <xf numFmtId="164" fontId="26" fillId="0" borderId="76" xfId="0" applyNumberFormat="1" applyFont="1" applyFill="1" applyBorder="1" applyAlignment="1">
      <alignment horizontal="left"/>
    </xf>
    <xf numFmtId="164" fontId="26" fillId="0" borderId="79" xfId="0" applyNumberFormat="1" applyFont="1" applyFill="1" applyBorder="1" applyAlignment="1">
      <alignment horizontal="right"/>
    </xf>
    <xf numFmtId="3" fontId="7" fillId="0" borderId="77" xfId="0" applyFont="1" applyFill="1" applyBorder="1"/>
    <xf numFmtId="164" fontId="9" fillId="0" borderId="78" xfId="0" applyNumberFormat="1" applyFont="1" applyFill="1" applyBorder="1" applyAlignment="1">
      <alignment horizontal="right"/>
    </xf>
    <xf numFmtId="164" fontId="9" fillId="0" borderId="75" xfId="0" applyNumberFormat="1" applyFont="1" applyFill="1" applyBorder="1" applyAlignment="1">
      <alignment horizontal="right"/>
    </xf>
    <xf numFmtId="164" fontId="26" fillId="0" borderId="78" xfId="0" applyNumberFormat="1" applyFont="1" applyFill="1" applyBorder="1" applyAlignment="1">
      <alignment horizontal="right"/>
    </xf>
    <xf numFmtId="164" fontId="13" fillId="0" borderId="53" xfId="0" applyNumberFormat="1" applyFont="1" applyFill="1" applyBorder="1" applyAlignment="1">
      <alignment horizontal="right"/>
    </xf>
    <xf numFmtId="164" fontId="9" fillId="0" borderId="79" xfId="0" applyNumberFormat="1" applyFont="1" applyFill="1" applyBorder="1" applyAlignment="1">
      <alignment horizontal="right"/>
    </xf>
    <xf numFmtId="3" fontId="25" fillId="0" borderId="77" xfId="0" applyNumberFormat="1" applyFont="1" applyFill="1" applyBorder="1" applyAlignment="1">
      <alignment horizontal="left"/>
    </xf>
    <xf numFmtId="3" fontId="8" fillId="0" borderId="69" xfId="0" applyNumberFormat="1" applyFont="1" applyFill="1" applyBorder="1"/>
    <xf numFmtId="164" fontId="13" fillId="0" borderId="71" xfId="0" applyNumberFormat="1" applyFont="1" applyFill="1" applyBorder="1" applyAlignment="1">
      <alignment horizontal="right"/>
    </xf>
    <xf numFmtId="3" fontId="9" fillId="0" borderId="74" xfId="0" applyNumberFormat="1" applyFont="1" applyFill="1" applyBorder="1"/>
    <xf numFmtId="3" fontId="13" fillId="0" borderId="66" xfId="0" applyFont="1" applyFill="1" applyBorder="1" applyAlignment="1">
      <alignment vertical="center"/>
    </xf>
    <xf numFmtId="3" fontId="1" fillId="0" borderId="80" xfId="0" applyFont="1" applyFill="1" applyBorder="1" applyAlignment="1">
      <alignment horizontal="center"/>
    </xf>
    <xf numFmtId="3" fontId="1" fillId="0" borderId="81" xfId="0" applyFont="1" applyFill="1" applyBorder="1" applyAlignment="1">
      <alignment horizontal="center"/>
    </xf>
    <xf numFmtId="3" fontId="1" fillId="0" borderId="82" xfId="0" applyFont="1" applyFill="1" applyBorder="1" applyAlignment="1">
      <alignment horizontal="center"/>
    </xf>
    <xf numFmtId="3" fontId="1" fillId="0" borderId="87" xfId="0" applyFont="1" applyFill="1" applyBorder="1" applyAlignment="1">
      <alignment horizontal="center" vertical="center"/>
    </xf>
    <xf numFmtId="3" fontId="1" fillId="0" borderId="88" xfId="0" applyFont="1" applyFill="1" applyBorder="1" applyAlignment="1">
      <alignment horizontal="center" vertical="center"/>
    </xf>
    <xf numFmtId="3" fontId="1" fillId="0" borderId="89" xfId="0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justify" wrapText="1"/>
    </xf>
    <xf numFmtId="3" fontId="1" fillId="0" borderId="80" xfId="0" applyFont="1" applyFill="1" applyBorder="1" applyAlignment="1">
      <alignment horizontal="center" vertical="center"/>
    </xf>
    <xf numFmtId="3" fontId="1" fillId="0" borderId="81" xfId="0" applyFont="1" applyFill="1" applyBorder="1" applyAlignment="1">
      <alignment horizontal="center" vertical="center"/>
    </xf>
    <xf numFmtId="3" fontId="1" fillId="0" borderId="82" xfId="0" applyFont="1" applyFill="1" applyBorder="1" applyAlignment="1">
      <alignment horizontal="center" vertical="center"/>
    </xf>
    <xf numFmtId="3" fontId="0" fillId="0" borderId="0" xfId="0" applyFont="1" applyFill="1" applyAlignment="1">
      <alignment wrapText="1"/>
    </xf>
    <xf numFmtId="3" fontId="6" fillId="0" borderId="0" xfId="0" applyFont="1" applyFill="1"/>
    <xf numFmtId="1" fontId="9" fillId="0" borderId="36" xfId="1" applyNumberFormat="1" applyFont="1" applyFill="1" applyBorder="1" applyAlignment="1">
      <alignment horizontal="left" vertical="center"/>
    </xf>
    <xf numFmtId="1" fontId="9" fillId="0" borderId="37" xfId="1" applyNumberFormat="1" applyFont="1" applyFill="1" applyBorder="1" applyAlignment="1">
      <alignment horizontal="left" vertical="center"/>
    </xf>
    <xf numFmtId="0" fontId="30" fillId="0" borderId="36" xfId="1" applyFont="1" applyFill="1" applyBorder="1" applyAlignment="1"/>
    <xf numFmtId="0" fontId="30" fillId="0" borderId="37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18" fillId="0" borderId="0" xfId="1" applyFont="1" applyFill="1" applyAlignment="1">
      <alignment horizontal="center"/>
    </xf>
    <xf numFmtId="1" fontId="12" fillId="0" borderId="54" xfId="0" applyNumberFormat="1" applyFont="1" applyFill="1" applyBorder="1" applyAlignment="1">
      <alignment horizontal="left" wrapText="1"/>
    </xf>
    <xf numFmtId="3" fontId="0" fillId="0" borderId="18" xfId="0" applyFill="1" applyBorder="1" applyAlignment="1">
      <alignment wrapText="1"/>
    </xf>
    <xf numFmtId="1" fontId="13" fillId="7" borderId="58" xfId="0" applyNumberFormat="1" applyFont="1" applyFill="1" applyBorder="1" applyAlignment="1">
      <alignment horizontal="left" vertical="center" wrapText="1"/>
    </xf>
    <xf numFmtId="3" fontId="9" fillId="7" borderId="59" xfId="0" applyFont="1" applyFill="1" applyBorder="1" applyAlignment="1">
      <alignment vertical="center"/>
    </xf>
    <xf numFmtId="3" fontId="17" fillId="8" borderId="40" xfId="0" applyFont="1" applyFill="1" applyBorder="1" applyAlignment="1">
      <alignment horizontal="center" vertical="center" wrapText="1"/>
    </xf>
    <xf numFmtId="3" fontId="0" fillId="8" borderId="39" xfId="0" applyFill="1" applyBorder="1" applyAlignment="1">
      <alignment wrapText="1"/>
    </xf>
    <xf numFmtId="3" fontId="7" fillId="7" borderId="31" xfId="0" applyFont="1" applyFill="1" applyBorder="1" applyAlignment="1">
      <alignment wrapText="1"/>
    </xf>
    <xf numFmtId="3" fontId="0" fillId="7" borderId="29" xfId="0" applyFill="1" applyBorder="1" applyAlignment="1">
      <alignment wrapText="1"/>
    </xf>
    <xf numFmtId="3" fontId="7" fillId="7" borderId="7" xfId="0" applyFont="1" applyFill="1" applyBorder="1" applyAlignment="1">
      <alignment wrapText="1"/>
    </xf>
    <xf numFmtId="3" fontId="0" fillId="7" borderId="14" xfId="0" applyFill="1" applyBorder="1" applyAlignment="1">
      <alignment wrapText="1"/>
    </xf>
    <xf numFmtId="3" fontId="7" fillId="7" borderId="5" xfId="0" applyFont="1" applyFill="1" applyBorder="1" applyAlignment="1">
      <alignment wrapText="1"/>
    </xf>
    <xf numFmtId="3" fontId="0" fillId="7" borderId="6" xfId="0" applyFill="1" applyBorder="1" applyAlignment="1">
      <alignment wrapText="1"/>
    </xf>
    <xf numFmtId="1" fontId="5" fillId="8" borderId="17" xfId="0" applyNumberFormat="1" applyFont="1" applyFill="1" applyBorder="1" applyAlignment="1">
      <alignment horizontal="center"/>
    </xf>
    <xf numFmtId="3" fontId="5" fillId="8" borderId="38" xfId="0" applyFont="1" applyFill="1" applyBorder="1" applyAlignment="1">
      <alignment horizontal="center"/>
    </xf>
    <xf numFmtId="3" fontId="5" fillId="8" borderId="42" xfId="0" applyFont="1" applyFill="1" applyBorder="1" applyAlignment="1">
      <alignment horizontal="center"/>
    </xf>
    <xf numFmtId="1" fontId="45" fillId="0" borderId="0" xfId="0" applyNumberFormat="1" applyFont="1" applyFill="1" applyAlignment="1">
      <alignment horizontal="left"/>
    </xf>
    <xf numFmtId="3" fontId="0" fillId="0" borderId="38" xfId="0" applyFont="1" applyFill="1" applyBorder="1" applyAlignment="1">
      <alignment horizontal="right"/>
    </xf>
    <xf numFmtId="0" fontId="16" fillId="0" borderId="0" xfId="1" applyFill="1" applyAlignment="1">
      <alignment horizontal="left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  <xf numFmtId="1" fontId="5" fillId="0" borderId="17" xfId="0" applyNumberFormat="1" applyFont="1" applyFill="1" applyBorder="1" applyAlignment="1">
      <alignment horizontal="center"/>
    </xf>
    <xf numFmtId="3" fontId="5" fillId="0" borderId="38" xfId="0" applyFont="1" applyBorder="1" applyAlignment="1">
      <alignment horizontal="center"/>
    </xf>
    <xf numFmtId="3" fontId="5" fillId="0" borderId="42" xfId="0" applyFont="1" applyBorder="1" applyAlignment="1">
      <alignment horizontal="center"/>
    </xf>
  </cellXfs>
  <cellStyles count="4">
    <cellStyle name="Normální" xfId="0" builtinId="0"/>
    <cellStyle name="Normální 2 2" xfId="2"/>
    <cellStyle name="normální_Kopie - 8. - Závěrečný účet 2009 - Příloha č. 3 (výdaje)" xfId="1"/>
    <cellStyle name="Procenta" xfId="3" builtinId="5"/>
  </cellStyles>
  <dxfs count="0"/>
  <tableStyles count="0" defaultTableStyle="TableStyleMedium2" defaultPivotStyle="PivotStyleLight16"/>
  <colors>
    <mruColors>
      <color rgb="FF33CC33"/>
      <color rgb="FFCCFFFF"/>
      <color rgb="FF66FF66"/>
      <color rgb="FF66FF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Rekapitulace příjmů a výdajů (po konsolidaci)</a:t>
            </a:r>
          </a:p>
        </c:rich>
      </c:tx>
      <c:layout>
        <c:manualLayout>
          <c:xMode val="edge"/>
          <c:yMode val="edge"/>
          <c:x val="0.22934380139969646"/>
          <c:y val="3.3707931854129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chemeClr val="tx2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'Rekapitulace OK - příloha č. 2'!$A$7:$A$8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5910855</c:v>
                </c:pt>
                <c:pt idx="1">
                  <c:v>6352514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E63-B025-57A6A93568A4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'Rekapitulace OK - příloha č. 2'!$A$7:$A$8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19080296</c:v>
                </c:pt>
                <c:pt idx="1">
                  <c:v>19879027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E63-B025-57A6A93568A4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'Rekapitulace OK - příloha č. 2'!$A$7:$A$8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12548833</c:v>
                </c:pt>
                <c:pt idx="1">
                  <c:v>10719548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E63-B025-57A6A9356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740288"/>
        <c:axId val="99561856"/>
      </c:barChart>
      <c:catAx>
        <c:axId val="997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561856"/>
        <c:crosses val="autoZero"/>
        <c:auto val="1"/>
        <c:lblAlgn val="ctr"/>
        <c:lblOffset val="100"/>
        <c:tickMarkSkip val="1"/>
        <c:noMultiLvlLbl val="0"/>
      </c:catAx>
      <c:valAx>
        <c:axId val="9956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740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18-06-2015
x.x.-Rozpočet Olomouckého kraje 2015-plnění rozpočtu k 31. 5. 2015
Příloha č.2-Plnění rozpočtu výdajů Olomouckého kraje k 31. 5. 2015&amp;R&amp;"Arial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5910855</c:v>
                </c:pt>
                <c:pt idx="1">
                  <c:v>6352514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7-4718-B8FE-FAA54184AF3B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19080296</c:v>
                </c:pt>
                <c:pt idx="1">
                  <c:v>19879027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7-4718-B8FE-FAA54184AF3B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12548833</c:v>
                </c:pt>
                <c:pt idx="1">
                  <c:v>10719548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7-4718-B8FE-FAA54184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1872"/>
        <c:axId val="104753408"/>
      </c:barChart>
      <c:catAx>
        <c:axId val="104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3408"/>
        <c:crosses val="autoZero"/>
        <c:auto val="1"/>
        <c:lblAlgn val="ctr"/>
        <c:lblOffset val="100"/>
        <c:tickMarkSkip val="1"/>
        <c:noMultiLvlLbl val="0"/>
      </c:catAx>
      <c:valAx>
        <c:axId val="10475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1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D-40E5-ABB0-ACE6C34BF277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D-40E5-ABB0-ACE6C34BF277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D-40E5-ABB0-ACE6C34BF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28224"/>
        <c:axId val="103029760"/>
      </c:barChart>
      <c:catAx>
        <c:axId val="1030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9760"/>
        <c:crosses val="autoZero"/>
        <c:auto val="1"/>
        <c:lblAlgn val="ctr"/>
        <c:lblOffset val="100"/>
        <c:tickMarkSkip val="1"/>
        <c:noMultiLvlLbl val="0"/>
      </c:catAx>
      <c:valAx>
        <c:axId val="103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8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5910855</c:v>
                </c:pt>
                <c:pt idx="1">
                  <c:v>6352514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3-4D79-94CB-FBC8E9504FE1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19080296</c:v>
                </c:pt>
                <c:pt idx="1">
                  <c:v>19879027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3-4D79-94CB-FBC8E9504FE1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12548833</c:v>
                </c:pt>
                <c:pt idx="1">
                  <c:v>10719548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3-4D79-94CB-FBC8E950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44704"/>
        <c:axId val="105146240"/>
      </c:barChart>
      <c:catAx>
        <c:axId val="1051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6240"/>
        <c:crosses val="autoZero"/>
        <c:auto val="1"/>
        <c:lblAlgn val="ctr"/>
        <c:lblOffset val="100"/>
        <c:tickMarkSkip val="1"/>
        <c:noMultiLvlLbl val="0"/>
      </c:catAx>
      <c:valAx>
        <c:axId val="1051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4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4-4C34-864D-29A076F46441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4-4C34-864D-29A076F46441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4-4C34-864D-29A076F4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2768"/>
        <c:axId val="104994304"/>
      </c:barChart>
      <c:catAx>
        <c:axId val="1049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4304"/>
        <c:crosses val="autoZero"/>
        <c:auto val="1"/>
        <c:lblAlgn val="ctr"/>
        <c:lblOffset val="100"/>
        <c:tickMarkSkip val="1"/>
        <c:noMultiLvlLbl val="0"/>
      </c:catAx>
      <c:valAx>
        <c:axId val="1049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2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147204</xdr:colOff>
      <xdr:row>13</xdr:row>
      <xdr:rowOff>86591</xdr:rowOff>
    </xdr:from>
    <xdr:to>
      <xdr:col>7</xdr:col>
      <xdr:colOff>303067</xdr:colOff>
      <xdr:row>38</xdr:row>
      <xdr:rowOff>17318</xdr:rowOff>
    </xdr:to>
    <xdr:graphicFrame macro="">
      <xdr:nvGraphicFramePr>
        <xdr:cNvPr id="4874" name="graf 2">
          <a:extLst>
            <a:ext uri="{FF2B5EF4-FFF2-40B4-BE49-F238E27FC236}">
              <a16:creationId xmlns:a16="http://schemas.microsoft.com/office/drawing/2014/main" id="{00000000-0008-0000-0400-00000A1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>
          <a:extLst>
            <a:ext uri="{FF2B5EF4-FFF2-40B4-BE49-F238E27FC236}">
              <a16:creationId xmlns:a16="http://schemas.microsoft.com/office/drawing/2014/main" id="{00000000-0008-0000-0600-00000B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>
          <a:extLst>
            <a:ext uri="{FF2B5EF4-FFF2-40B4-BE49-F238E27FC236}">
              <a16:creationId xmlns:a16="http://schemas.microsoft.com/office/drawing/2014/main" id="{00000000-0008-0000-0600-00000C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O58"/>
  <sheetViews>
    <sheetView showGridLines="0" tabSelected="1" view="pageBreakPreview" zoomScale="110" zoomScaleNormal="100" zoomScaleSheetLayoutView="110" workbookViewId="0">
      <selection activeCell="E17" sqref="E17"/>
    </sheetView>
  </sheetViews>
  <sheetFormatPr defaultColWidth="9.140625" defaultRowHeight="12.75" x14ac:dyDescent="0.2"/>
  <cols>
    <col min="1" max="1" width="50.7109375" style="1" customWidth="1"/>
    <col min="2" max="2" width="15.7109375" style="1" customWidth="1"/>
    <col min="3" max="3" width="15.7109375" style="169" customWidth="1"/>
    <col min="4" max="4" width="12.7109375" style="169" customWidth="1"/>
    <col min="5" max="5" width="6.5703125" style="1" customWidth="1"/>
    <col min="6" max="6" width="2.5703125" style="1" customWidth="1"/>
    <col min="7" max="8" width="15.7109375" style="1" customWidth="1"/>
    <col min="9" max="9" width="12.7109375" style="1" customWidth="1"/>
    <col min="10" max="10" width="5.7109375" style="1" customWidth="1"/>
    <col min="11" max="11" width="2.140625" style="1" customWidth="1"/>
    <col min="12" max="13" width="15.7109375" style="1" customWidth="1"/>
    <col min="14" max="14" width="12.7109375" style="1" customWidth="1"/>
    <col min="15" max="15" width="8.140625" style="1" customWidth="1"/>
    <col min="16" max="16384" width="9.140625" style="1"/>
  </cols>
  <sheetData>
    <row r="1" spans="1:15" ht="20.25" x14ac:dyDescent="0.3">
      <c r="A1" s="358" t="s">
        <v>157</v>
      </c>
      <c r="B1" s="358"/>
      <c r="C1" s="358"/>
      <c r="D1" s="358"/>
      <c r="E1" s="358"/>
      <c r="F1" s="358"/>
    </row>
    <row r="2" spans="1:15" ht="13.5" thickBot="1" x14ac:dyDescent="0.25">
      <c r="O2" s="2" t="s">
        <v>0</v>
      </c>
    </row>
    <row r="3" spans="1:15" ht="17.100000000000001" customHeight="1" thickBot="1" x14ac:dyDescent="0.25">
      <c r="B3" s="508" t="s">
        <v>130</v>
      </c>
      <c r="C3" s="509"/>
      <c r="D3" s="509"/>
      <c r="E3" s="510"/>
      <c r="F3" s="367"/>
      <c r="G3" s="504" t="s">
        <v>131</v>
      </c>
      <c r="H3" s="505"/>
      <c r="I3" s="505"/>
      <c r="J3" s="506"/>
      <c r="K3" s="367"/>
      <c r="L3" s="501" t="s">
        <v>132</v>
      </c>
      <c r="M3" s="502"/>
      <c r="N3" s="502"/>
      <c r="O3" s="503"/>
    </row>
    <row r="4" spans="1:15" s="356" customFormat="1" ht="20.100000000000001" customHeight="1" x14ac:dyDescent="0.2">
      <c r="A4" s="389" t="s">
        <v>1</v>
      </c>
      <c r="B4" s="385" t="s">
        <v>11</v>
      </c>
      <c r="C4" s="385" t="s">
        <v>12</v>
      </c>
      <c r="D4" s="385" t="s">
        <v>4</v>
      </c>
      <c r="E4" s="386" t="s">
        <v>5</v>
      </c>
      <c r="F4" s="371"/>
      <c r="G4" s="391" t="s">
        <v>11</v>
      </c>
      <c r="H4" s="385" t="s">
        <v>12</v>
      </c>
      <c r="I4" s="385" t="s">
        <v>4</v>
      </c>
      <c r="J4" s="386" t="s">
        <v>5</v>
      </c>
      <c r="K4" s="371"/>
      <c r="L4" s="391" t="s">
        <v>11</v>
      </c>
      <c r="M4" s="385" t="s">
        <v>12</v>
      </c>
      <c r="N4" s="385" t="s">
        <v>4</v>
      </c>
      <c r="O4" s="386" t="s">
        <v>5</v>
      </c>
    </row>
    <row r="5" spans="1:15" s="4" customFormat="1" ht="12" thickBot="1" x14ac:dyDescent="0.25">
      <c r="A5" s="390">
        <v>1</v>
      </c>
      <c r="B5" s="352">
        <v>2</v>
      </c>
      <c r="C5" s="352">
        <v>3</v>
      </c>
      <c r="D5" s="352">
        <v>4</v>
      </c>
      <c r="E5" s="388" t="s">
        <v>95</v>
      </c>
      <c r="F5" s="372"/>
      <c r="G5" s="395">
        <v>6</v>
      </c>
      <c r="H5" s="396">
        <v>7</v>
      </c>
      <c r="I5" s="396">
        <v>8</v>
      </c>
      <c r="J5" s="397" t="s">
        <v>136</v>
      </c>
      <c r="K5" s="372"/>
      <c r="L5" s="398">
        <v>10</v>
      </c>
      <c r="M5" s="352">
        <v>11</v>
      </c>
      <c r="N5" s="352">
        <v>12</v>
      </c>
      <c r="O5" s="388" t="s">
        <v>139</v>
      </c>
    </row>
    <row r="6" spans="1:15" ht="15" thickTop="1" x14ac:dyDescent="0.2">
      <c r="A6" s="387" t="s">
        <v>147</v>
      </c>
      <c r="B6" s="477">
        <f>SUM(B7:B10)</f>
        <v>5244006</v>
      </c>
      <c r="C6" s="477">
        <f t="shared" ref="C6" si="0">SUM(C7:C10)</f>
        <v>5251950</v>
      </c>
      <c r="D6" s="477">
        <f>SUM(D7:D10)</f>
        <v>2817357</v>
      </c>
      <c r="E6" s="478">
        <f>(D6/C6)*100</f>
        <v>53.644017936195134</v>
      </c>
      <c r="F6" s="373"/>
      <c r="G6" s="479">
        <f>G7+G8</f>
        <v>5210006</v>
      </c>
      <c r="H6" s="480">
        <f>H7+H8</f>
        <v>5217950</v>
      </c>
      <c r="I6" s="480">
        <f>I7+I8</f>
        <v>2777986</v>
      </c>
      <c r="J6" s="481">
        <f>(I6/H6)*100</f>
        <v>53.239030653800825</v>
      </c>
      <c r="K6" s="399"/>
      <c r="L6" s="479">
        <f>SUM(L7:L10)</f>
        <v>34000</v>
      </c>
      <c r="M6" s="480">
        <f>SUM(M7:M10)</f>
        <v>34000</v>
      </c>
      <c r="N6" s="480">
        <f>SUM(N7:N10)</f>
        <v>39371</v>
      </c>
      <c r="O6" s="481">
        <f>(N6/M6)*100</f>
        <v>115.79705882352943</v>
      </c>
    </row>
    <row r="7" spans="1:15" ht="14.25" x14ac:dyDescent="0.2">
      <c r="A7" s="443" t="s">
        <v>126</v>
      </c>
      <c r="B7" s="444">
        <f>G7+L7</f>
        <v>5208841</v>
      </c>
      <c r="C7" s="444">
        <f t="shared" ref="B7:D10" si="1">H7+M7</f>
        <v>5216785</v>
      </c>
      <c r="D7" s="482">
        <f t="shared" si="1"/>
        <v>2777134</v>
      </c>
      <c r="E7" s="483">
        <f t="shared" ref="E7:E11" si="2">(D7/C7)*100</f>
        <v>53.234587969410271</v>
      </c>
      <c r="F7" s="373"/>
      <c r="G7" s="444">
        <f>858841+30000+120000+1100000+3100000</f>
        <v>5208841</v>
      </c>
      <c r="H7" s="444">
        <f>858841+30000+120000+1100000+3100000+7944</f>
        <v>5216785</v>
      </c>
      <c r="I7" s="482">
        <f>434096+17166+85359+602890+1629679+7944</f>
        <v>2777134</v>
      </c>
      <c r="J7" s="483">
        <f>(I7/H7)*100</f>
        <v>53.234587969410271</v>
      </c>
      <c r="K7" s="399"/>
      <c r="L7" s="444">
        <v>0</v>
      </c>
      <c r="M7" s="444">
        <v>0</v>
      </c>
      <c r="N7" s="482">
        <v>0</v>
      </c>
      <c r="O7" s="483">
        <v>0</v>
      </c>
    </row>
    <row r="8" spans="1:15" ht="14.25" x14ac:dyDescent="0.2">
      <c r="A8" s="443" t="s">
        <v>127</v>
      </c>
      <c r="B8" s="444">
        <f t="shared" si="1"/>
        <v>1165</v>
      </c>
      <c r="C8" s="444">
        <f t="shared" si="1"/>
        <v>1165</v>
      </c>
      <c r="D8" s="482">
        <f t="shared" si="1"/>
        <v>852</v>
      </c>
      <c r="E8" s="483">
        <f t="shared" si="2"/>
        <v>73.133047210300433</v>
      </c>
      <c r="F8" s="373"/>
      <c r="G8" s="444">
        <v>1165</v>
      </c>
      <c r="H8" s="444">
        <v>1165</v>
      </c>
      <c r="I8" s="482">
        <v>852</v>
      </c>
      <c r="J8" s="483">
        <f>(I8/H8)*100</f>
        <v>73.133047210300433</v>
      </c>
      <c r="K8" s="399"/>
      <c r="L8" s="444">
        <v>0</v>
      </c>
      <c r="M8" s="444">
        <v>0</v>
      </c>
      <c r="N8" s="482">
        <v>0</v>
      </c>
      <c r="O8" s="483">
        <v>0</v>
      </c>
    </row>
    <row r="9" spans="1:15" ht="14.25" x14ac:dyDescent="0.2">
      <c r="A9" s="445" t="s">
        <v>143</v>
      </c>
      <c r="B9" s="444">
        <f t="shared" si="1"/>
        <v>4000</v>
      </c>
      <c r="C9" s="444">
        <f t="shared" si="1"/>
        <v>4000</v>
      </c>
      <c r="D9" s="444">
        <f t="shared" si="1"/>
        <v>2221</v>
      </c>
      <c r="E9" s="483">
        <f>(D9/C9)*100</f>
        <v>55.525000000000006</v>
      </c>
      <c r="F9" s="373"/>
      <c r="G9" s="444">
        <v>0</v>
      </c>
      <c r="H9" s="444">
        <v>0</v>
      </c>
      <c r="I9" s="482">
        <v>0</v>
      </c>
      <c r="J9" s="483">
        <v>0</v>
      </c>
      <c r="K9" s="399"/>
      <c r="L9" s="444">
        <v>4000</v>
      </c>
      <c r="M9" s="444">
        <v>4000</v>
      </c>
      <c r="N9" s="482">
        <v>2221</v>
      </c>
      <c r="O9" s="483">
        <f>(N9/M9)*100</f>
        <v>55.525000000000006</v>
      </c>
    </row>
    <row r="10" spans="1:15" ht="14.25" x14ac:dyDescent="0.2">
      <c r="A10" s="446" t="s">
        <v>144</v>
      </c>
      <c r="B10" s="444">
        <f t="shared" si="1"/>
        <v>30000</v>
      </c>
      <c r="C10" s="444">
        <f t="shared" si="1"/>
        <v>30000</v>
      </c>
      <c r="D10" s="444">
        <f t="shared" si="1"/>
        <v>37150</v>
      </c>
      <c r="E10" s="483">
        <f t="shared" si="2"/>
        <v>123.83333333333333</v>
      </c>
      <c r="F10" s="373"/>
      <c r="G10" s="444">
        <v>0</v>
      </c>
      <c r="H10" s="444">
        <v>0</v>
      </c>
      <c r="I10" s="482">
        <v>0</v>
      </c>
      <c r="J10" s="483">
        <v>0</v>
      </c>
      <c r="K10" s="399"/>
      <c r="L10" s="444">
        <v>30000</v>
      </c>
      <c r="M10" s="444">
        <v>30000</v>
      </c>
      <c r="N10" s="482">
        <v>37150</v>
      </c>
      <c r="O10" s="483">
        <f>(N10/M10)*100</f>
        <v>123.83333333333333</v>
      </c>
    </row>
    <row r="11" spans="1:15" ht="14.25" x14ac:dyDescent="0.2">
      <c r="A11" s="387" t="s">
        <v>148</v>
      </c>
      <c r="B11" s="439">
        <v>473010</v>
      </c>
      <c r="C11" s="439">
        <v>524130</v>
      </c>
      <c r="D11" s="439">
        <v>320805</v>
      </c>
      <c r="E11" s="470">
        <f t="shared" si="2"/>
        <v>61.207143265983632</v>
      </c>
      <c r="F11" s="373"/>
      <c r="G11" s="471">
        <f>B11-L11</f>
        <v>473010</v>
      </c>
      <c r="H11" s="439">
        <f>C11-M11</f>
        <v>506416</v>
      </c>
      <c r="I11" s="439">
        <f>D11-N11</f>
        <v>303079</v>
      </c>
      <c r="J11" s="448">
        <f t="shared" ref="J11" si="3">(I11/H11)*100</f>
        <v>59.847832611923792</v>
      </c>
      <c r="K11" s="399"/>
      <c r="L11" s="471">
        <v>0</v>
      </c>
      <c r="M11" s="439">
        <v>17714</v>
      </c>
      <c r="N11" s="439">
        <v>17726</v>
      </c>
      <c r="O11" s="470">
        <f>(N11/M11)*100</f>
        <v>100.06774302811337</v>
      </c>
    </row>
    <row r="12" spans="1:15" ht="14.25" x14ac:dyDescent="0.2">
      <c r="A12" s="379" t="s">
        <v>103</v>
      </c>
      <c r="B12" s="439">
        <f>G12+L12</f>
        <v>9005</v>
      </c>
      <c r="C12" s="439">
        <f t="shared" ref="C12:D12" si="4">H12+M12</f>
        <v>9005</v>
      </c>
      <c r="D12" s="439">
        <f t="shared" si="4"/>
        <v>407</v>
      </c>
      <c r="E12" s="470">
        <f t="shared" ref="E12:E15" si="5">(D12/C12)*100</f>
        <v>4.5197112715158241</v>
      </c>
      <c r="F12" s="373"/>
      <c r="G12" s="392">
        <v>9005</v>
      </c>
      <c r="H12" s="344">
        <v>9005</v>
      </c>
      <c r="I12" s="344">
        <v>407</v>
      </c>
      <c r="J12" s="448">
        <f t="shared" ref="J12:J16" si="6">(I12/H12)*100</f>
        <v>4.5197112715158241</v>
      </c>
      <c r="K12" s="399"/>
      <c r="L12" s="392">
        <v>0</v>
      </c>
      <c r="M12" s="344">
        <v>0</v>
      </c>
      <c r="N12" s="344">
        <v>0</v>
      </c>
      <c r="O12" s="487">
        <v>0</v>
      </c>
    </row>
    <row r="13" spans="1:15" ht="14.25" x14ac:dyDescent="0.2">
      <c r="A13" s="379" t="s">
        <v>149</v>
      </c>
      <c r="B13" s="439">
        <f>G13+L13</f>
        <v>184834</v>
      </c>
      <c r="C13" s="439">
        <f>H13+M13</f>
        <v>13295211</v>
      </c>
      <c r="D13" s="439">
        <f>I13+N13</f>
        <v>9410264</v>
      </c>
      <c r="E13" s="470">
        <f t="shared" si="5"/>
        <v>70.779350549607685</v>
      </c>
      <c r="F13" s="373"/>
      <c r="G13" s="392">
        <f>G14+G15</f>
        <v>184834</v>
      </c>
      <c r="H13" s="344">
        <f>H14+H15</f>
        <v>261132</v>
      </c>
      <c r="I13" s="344">
        <f>I14+I15</f>
        <v>154740</v>
      </c>
      <c r="J13" s="448">
        <f t="shared" si="6"/>
        <v>59.257387068608978</v>
      </c>
      <c r="K13" s="399"/>
      <c r="L13" s="392">
        <f>L14+L15</f>
        <v>0</v>
      </c>
      <c r="M13" s="344">
        <f>M14+M15</f>
        <v>13034079</v>
      </c>
      <c r="N13" s="344">
        <f>N14+N15</f>
        <v>9255524</v>
      </c>
      <c r="O13" s="487">
        <f>(N13/M13)*100</f>
        <v>71.010187984897129</v>
      </c>
    </row>
    <row r="14" spans="1:15" s="438" customFormat="1" ht="14.25" x14ac:dyDescent="0.2">
      <c r="A14" s="359" t="s">
        <v>140</v>
      </c>
      <c r="B14" s="444">
        <f>G14+L14</f>
        <v>128384</v>
      </c>
      <c r="C14" s="444">
        <f>H14+M14</f>
        <v>12855010</v>
      </c>
      <c r="D14" s="444">
        <f t="shared" ref="C14:D15" si="7">I14+N14</f>
        <v>9256327</v>
      </c>
      <c r="E14" s="484">
        <f t="shared" si="5"/>
        <v>72.005599373318262</v>
      </c>
      <c r="F14" s="436"/>
      <c r="G14" s="485">
        <f>128384</f>
        <v>128384</v>
      </c>
      <c r="H14" s="486">
        <f>21327+128384+1803+319+125+708+100+150+13851</f>
        <v>166767</v>
      </c>
      <c r="I14" s="486">
        <f>21327+64192+1803+319+125+708+100+150+14718</f>
        <v>103442</v>
      </c>
      <c r="J14" s="449">
        <f t="shared" si="6"/>
        <v>62.027859228744298</v>
      </c>
      <c r="K14" s="437"/>
      <c r="L14" s="485">
        <v>0</v>
      </c>
      <c r="M14" s="486">
        <f>150+1457+12686636</f>
        <v>12688243</v>
      </c>
      <c r="N14" s="486">
        <f>150+1457+9151278</f>
        <v>9152885</v>
      </c>
      <c r="O14" s="488">
        <f>(N14/M14)*100</f>
        <v>72.136741075970875</v>
      </c>
    </row>
    <row r="15" spans="1:15" s="438" customFormat="1" ht="15" thickBot="1" x14ac:dyDescent="0.25">
      <c r="A15" s="383" t="s">
        <v>141</v>
      </c>
      <c r="B15" s="444">
        <f>G15+L15</f>
        <v>56450</v>
      </c>
      <c r="C15" s="444">
        <f t="shared" si="7"/>
        <v>440201</v>
      </c>
      <c r="D15" s="444">
        <f t="shared" si="7"/>
        <v>153937</v>
      </c>
      <c r="E15" s="484">
        <f t="shared" si="5"/>
        <v>34.969707020202137</v>
      </c>
      <c r="F15" s="436"/>
      <c r="G15" s="450">
        <f>3875+51000+1575</f>
        <v>56450</v>
      </c>
      <c r="H15" s="451">
        <f>3875+37387+47898+5205</f>
        <v>94365</v>
      </c>
      <c r="I15" s="451">
        <f>2387+47898+1013</f>
        <v>51298</v>
      </c>
      <c r="J15" s="449">
        <f t="shared" si="6"/>
        <v>54.361256821914907</v>
      </c>
      <c r="K15" s="437"/>
      <c r="L15" s="450">
        <v>0</v>
      </c>
      <c r="M15" s="451">
        <f>313309+2099+8331+1202+20895</f>
        <v>345836</v>
      </c>
      <c r="N15" s="451">
        <f>68725+1387+2099+8331+1202+20895</f>
        <v>102639</v>
      </c>
      <c r="O15" s="488">
        <f>(N15/M15)*100</f>
        <v>29.67851814154686</v>
      </c>
    </row>
    <row r="16" spans="1:15" ht="18.95" customHeight="1" thickTop="1" thickBot="1" x14ac:dyDescent="0.3">
      <c r="A16" s="440" t="s">
        <v>8</v>
      </c>
      <c r="B16" s="441">
        <f>B6+B11+B12+B13</f>
        <v>5910855</v>
      </c>
      <c r="C16" s="441">
        <f>C6+C11+C12+C13</f>
        <v>19080296</v>
      </c>
      <c r="D16" s="441">
        <f>D6+D11+D12+D13</f>
        <v>12548833</v>
      </c>
      <c r="E16" s="442">
        <f>(D16/C16)*100</f>
        <v>65.768544680858199</v>
      </c>
      <c r="F16" s="374"/>
      <c r="G16" s="364">
        <f>G6+G11+G12+G13</f>
        <v>5876855</v>
      </c>
      <c r="H16" s="364">
        <f>H6+H11+H12+H13</f>
        <v>5994503</v>
      </c>
      <c r="I16" s="364">
        <f>I6+I11+I12+I13</f>
        <v>3236212</v>
      </c>
      <c r="J16" s="365">
        <f t="shared" si="6"/>
        <v>53.986327140048139</v>
      </c>
      <c r="K16" s="374"/>
      <c r="L16" s="366">
        <f>L6+L11+L12+L13</f>
        <v>34000</v>
      </c>
      <c r="M16" s="366">
        <f t="shared" ref="M16:N16" si="8">M6+M11+M12+M13</f>
        <v>13085793</v>
      </c>
      <c r="N16" s="366">
        <f t="shared" si="8"/>
        <v>9312621</v>
      </c>
      <c r="O16" s="365">
        <f>(N16/M16)*100</f>
        <v>71.165889602563638</v>
      </c>
    </row>
    <row r="17" spans="1:15" ht="13.5" thickBot="1" x14ac:dyDescent="0.25">
      <c r="A17" s="405"/>
      <c r="B17" s="405"/>
      <c r="C17" s="406"/>
      <c r="D17" s="406"/>
      <c r="E17" s="405"/>
      <c r="F17" s="377"/>
      <c r="G17" s="394"/>
      <c r="H17" s="394"/>
      <c r="I17" s="394"/>
      <c r="J17" s="394"/>
      <c r="K17" s="13"/>
      <c r="L17" s="394"/>
      <c r="M17" s="394"/>
      <c r="N17" s="394"/>
      <c r="O17" s="394"/>
    </row>
    <row r="18" spans="1:15" ht="20.100000000000001" customHeight="1" x14ac:dyDescent="0.2">
      <c r="A18" s="389" t="s">
        <v>91</v>
      </c>
      <c r="B18" s="402" t="s">
        <v>11</v>
      </c>
      <c r="C18" s="402" t="s">
        <v>12</v>
      </c>
      <c r="D18" s="402" t="s">
        <v>4</v>
      </c>
      <c r="E18" s="403" t="s">
        <v>5</v>
      </c>
      <c r="F18" s="375"/>
      <c r="G18" s="404" t="s">
        <v>11</v>
      </c>
      <c r="H18" s="402" t="s">
        <v>12</v>
      </c>
      <c r="I18" s="402" t="s">
        <v>4</v>
      </c>
      <c r="J18" s="403" t="s">
        <v>5</v>
      </c>
      <c r="K18" s="375"/>
      <c r="L18" s="404" t="s">
        <v>11</v>
      </c>
      <c r="M18" s="402" t="s">
        <v>12</v>
      </c>
      <c r="N18" s="402" t="s">
        <v>4</v>
      </c>
      <c r="O18" s="403" t="s">
        <v>5</v>
      </c>
    </row>
    <row r="19" spans="1:15" ht="13.5" thickBot="1" x14ac:dyDescent="0.25">
      <c r="A19" s="390">
        <v>1</v>
      </c>
      <c r="B19" s="352">
        <v>2</v>
      </c>
      <c r="C19" s="352">
        <v>3</v>
      </c>
      <c r="D19" s="352">
        <v>4</v>
      </c>
      <c r="E19" s="388" t="s">
        <v>95</v>
      </c>
      <c r="F19" s="376"/>
      <c r="G19" s="398">
        <v>6</v>
      </c>
      <c r="H19" s="352">
        <v>7</v>
      </c>
      <c r="I19" s="352">
        <v>8</v>
      </c>
      <c r="J19" s="388" t="s">
        <v>136</v>
      </c>
      <c r="K19" s="376"/>
      <c r="L19" s="398">
        <v>10</v>
      </c>
      <c r="M19" s="352">
        <v>11</v>
      </c>
      <c r="N19" s="352">
        <v>12</v>
      </c>
      <c r="O19" s="388" t="s">
        <v>139</v>
      </c>
    </row>
    <row r="20" spans="1:15" s="357" customFormat="1" ht="15.75" thickTop="1" x14ac:dyDescent="0.25">
      <c r="A20" s="430" t="s">
        <v>112</v>
      </c>
      <c r="B20" s="353">
        <f>5155265-11315</f>
        <v>5143950</v>
      </c>
      <c r="C20" s="353">
        <f>18055230-11555</f>
        <v>18043675</v>
      </c>
      <c r="D20" s="353">
        <f>20620881-10492811</f>
        <v>10128070</v>
      </c>
      <c r="E20" s="384">
        <f t="shared" ref="E20:E27" si="9">(D20/C20)*100</f>
        <v>56.130860259897162</v>
      </c>
      <c r="F20" s="374"/>
      <c r="G20" s="353">
        <f>B20-L20</f>
        <v>5132622</v>
      </c>
      <c r="H20" s="353">
        <f>C20-M20</f>
        <v>5230480</v>
      </c>
      <c r="I20" s="353">
        <f>D20-N20</f>
        <v>2824100</v>
      </c>
      <c r="J20" s="384">
        <f t="shared" ref="J20:J27" si="10">(I20/H20)*100</f>
        <v>53.99313256144751</v>
      </c>
      <c r="K20" s="374"/>
      <c r="L20" s="421">
        <f>SUM(L21:L25)</f>
        <v>11328</v>
      </c>
      <c r="M20" s="353">
        <f t="shared" ref="M20:N20" si="11">SUM(M21:M25)</f>
        <v>12813195</v>
      </c>
      <c r="N20" s="353">
        <f t="shared" si="11"/>
        <v>7303970</v>
      </c>
      <c r="O20" s="384">
        <f>(N20/M20)*100</f>
        <v>57.003503029494205</v>
      </c>
    </row>
    <row r="21" spans="1:15" ht="14.25" x14ac:dyDescent="0.2">
      <c r="A21" s="359" t="s">
        <v>137</v>
      </c>
      <c r="B21" s="444">
        <f>G21+L21</f>
        <v>424619</v>
      </c>
      <c r="C21" s="444">
        <f>H21+M21</f>
        <v>328912</v>
      </c>
      <c r="D21" s="444">
        <f>I21+N21</f>
        <v>180351</v>
      </c>
      <c r="E21" s="489">
        <f t="shared" si="9"/>
        <v>54.832599601109109</v>
      </c>
      <c r="F21" s="369"/>
      <c r="G21" s="447">
        <v>413291</v>
      </c>
      <c r="H21" s="444">
        <v>317344</v>
      </c>
      <c r="I21" s="444">
        <v>175194</v>
      </c>
      <c r="J21" s="476">
        <f t="shared" si="10"/>
        <v>55.206337602097413</v>
      </c>
      <c r="K21" s="382"/>
      <c r="L21" s="447">
        <v>11328</v>
      </c>
      <c r="M21" s="444">
        <v>11568</v>
      </c>
      <c r="N21" s="444">
        <v>5157</v>
      </c>
      <c r="O21" s="476">
        <f>(N21/M21)*100</f>
        <v>44.579875518672203</v>
      </c>
    </row>
    <row r="22" spans="1:15" ht="14.25" x14ac:dyDescent="0.2">
      <c r="A22" s="359" t="s">
        <v>128</v>
      </c>
      <c r="B22" s="444">
        <f>G22+L22</f>
        <v>1972267</v>
      </c>
      <c r="C22" s="444">
        <f t="shared" ref="C22:D25" si="12">H22+M22</f>
        <v>2070186</v>
      </c>
      <c r="D22" s="444">
        <f t="shared" si="12"/>
        <v>1109816</v>
      </c>
      <c r="E22" s="489">
        <f t="shared" si="9"/>
        <v>53.609482432979448</v>
      </c>
      <c r="F22" s="369"/>
      <c r="G22" s="447">
        <v>1972267</v>
      </c>
      <c r="H22" s="444">
        <v>2070186</v>
      </c>
      <c r="I22" s="444">
        <v>1109816</v>
      </c>
      <c r="J22" s="476">
        <f t="shared" si="10"/>
        <v>53.609482432979448</v>
      </c>
      <c r="K22" s="382"/>
      <c r="L22" s="447">
        <v>0</v>
      </c>
      <c r="M22" s="444">
        <v>0</v>
      </c>
      <c r="N22" s="444">
        <v>0</v>
      </c>
      <c r="O22" s="476">
        <v>0</v>
      </c>
    </row>
    <row r="23" spans="1:15" ht="14.25" customHeight="1" x14ac:dyDescent="0.2">
      <c r="A23" s="360" t="s">
        <v>138</v>
      </c>
      <c r="B23" s="444">
        <f>G23+L23</f>
        <v>1627806</v>
      </c>
      <c r="C23" s="444">
        <f t="shared" si="12"/>
        <v>1649907</v>
      </c>
      <c r="D23" s="444">
        <f t="shared" si="12"/>
        <v>1120690</v>
      </c>
      <c r="E23" s="489">
        <f t="shared" si="9"/>
        <v>67.924434528734039</v>
      </c>
      <c r="F23" s="369"/>
      <c r="G23" s="447">
        <v>1627806</v>
      </c>
      <c r="H23" s="444">
        <v>1649907</v>
      </c>
      <c r="I23" s="444">
        <v>1120690</v>
      </c>
      <c r="J23" s="476">
        <f t="shared" si="10"/>
        <v>67.924434528734039</v>
      </c>
      <c r="K23" s="382"/>
      <c r="L23" s="447">
        <v>0</v>
      </c>
      <c r="M23" s="444">
        <v>0</v>
      </c>
      <c r="N23" s="444">
        <v>0</v>
      </c>
      <c r="O23" s="476">
        <v>0</v>
      </c>
    </row>
    <row r="24" spans="1:15" ht="14.25" x14ac:dyDescent="0.2">
      <c r="A24" s="359" t="s">
        <v>145</v>
      </c>
      <c r="B24" s="444">
        <f>G24+L24</f>
        <v>403685</v>
      </c>
      <c r="C24" s="444">
        <f t="shared" si="12"/>
        <v>425606</v>
      </c>
      <c r="D24" s="444">
        <f t="shared" si="12"/>
        <v>156259</v>
      </c>
      <c r="E24" s="489">
        <f t="shared" si="9"/>
        <v>36.714473010248916</v>
      </c>
      <c r="F24" s="369"/>
      <c r="G24" s="447">
        <f>399299+4386</f>
        <v>403685</v>
      </c>
      <c r="H24" s="444">
        <f>412397+3794</f>
        <v>416191</v>
      </c>
      <c r="I24" s="444">
        <f>151846+1417</f>
        <v>153263</v>
      </c>
      <c r="J24" s="476">
        <f t="shared" si="10"/>
        <v>36.825159602201872</v>
      </c>
      <c r="K24" s="382"/>
      <c r="L24" s="447">
        <f>4386-4386</f>
        <v>0</v>
      </c>
      <c r="M24" s="444">
        <f>13209-3794</f>
        <v>9415</v>
      </c>
      <c r="N24" s="444">
        <f>4413-1417</f>
        <v>2996</v>
      </c>
      <c r="O24" s="476">
        <f>(N24/M24)*100</f>
        <v>31.82156133828996</v>
      </c>
    </row>
    <row r="25" spans="1:15" ht="14.25" x14ac:dyDescent="0.2">
      <c r="A25" s="359" t="s">
        <v>150</v>
      </c>
      <c r="B25" s="444">
        <f>G25+L25</f>
        <v>715573</v>
      </c>
      <c r="C25" s="444">
        <f t="shared" si="12"/>
        <v>13569064</v>
      </c>
      <c r="D25" s="444">
        <f t="shared" si="12"/>
        <v>7560954</v>
      </c>
      <c r="E25" s="489">
        <f t="shared" si="9"/>
        <v>55.722001163823833</v>
      </c>
      <c r="F25" s="369"/>
      <c r="G25" s="444">
        <f>G20-G21-G22-G23-G24</f>
        <v>715573</v>
      </c>
      <c r="H25" s="444">
        <f>H20-H21-H22-H23-H24</f>
        <v>776852</v>
      </c>
      <c r="I25" s="444">
        <f>I20-I21-I22-I23-I24</f>
        <v>265137</v>
      </c>
      <c r="J25" s="476">
        <f t="shared" si="10"/>
        <v>34.129666912101662</v>
      </c>
      <c r="K25" s="382"/>
      <c r="L25" s="447">
        <v>0</v>
      </c>
      <c r="M25" s="444">
        <f>12774601+1048+25978-M24</f>
        <v>12792212</v>
      </c>
      <c r="N25" s="444">
        <f>7272521+314+25978-N24</f>
        <v>7295817</v>
      </c>
      <c r="O25" s="476">
        <f>(N25/M25)*100</f>
        <v>57.033271493624405</v>
      </c>
    </row>
    <row r="26" spans="1:15" s="357" customFormat="1" ht="21.75" customHeight="1" thickBot="1" x14ac:dyDescent="0.3">
      <c r="A26" s="431" t="s">
        <v>113</v>
      </c>
      <c r="B26" s="407">
        <v>1208564</v>
      </c>
      <c r="C26" s="407">
        <v>1835352</v>
      </c>
      <c r="D26" s="407">
        <v>591478</v>
      </c>
      <c r="E26" s="381">
        <f t="shared" si="9"/>
        <v>32.226951560245666</v>
      </c>
      <c r="F26" s="368"/>
      <c r="G26" s="393">
        <f>B26-L26</f>
        <v>1174264</v>
      </c>
      <c r="H26" s="408">
        <f>C26-M26</f>
        <v>1412738</v>
      </c>
      <c r="I26" s="408">
        <f>D26-N26</f>
        <v>459978</v>
      </c>
      <c r="J26" s="381">
        <f t="shared" si="10"/>
        <v>32.559328056582324</v>
      </c>
      <c r="K26" s="368"/>
      <c r="L26" s="490">
        <f>34300+0</f>
        <v>34300</v>
      </c>
      <c r="M26" s="474">
        <f>464+334941+2942+458+7110+42399+34300</f>
        <v>422614</v>
      </c>
      <c r="N26" s="474">
        <f>464+90358+2099+0+4309+34270+0</f>
        <v>131500</v>
      </c>
      <c r="O26" s="491">
        <f>(N26/M26)*100</f>
        <v>31.115864595115166</v>
      </c>
    </row>
    <row r="27" spans="1:15" ht="16.5" thickTop="1" thickBot="1" x14ac:dyDescent="0.25">
      <c r="A27" s="361" t="s">
        <v>134</v>
      </c>
      <c r="B27" s="362">
        <f>B26+B20</f>
        <v>6352514</v>
      </c>
      <c r="C27" s="362">
        <f>C26+C20</f>
        <v>19879027</v>
      </c>
      <c r="D27" s="362">
        <f>D26+D20</f>
        <v>10719548</v>
      </c>
      <c r="E27" s="378">
        <f t="shared" si="9"/>
        <v>53.92390683910233</v>
      </c>
      <c r="F27" s="370"/>
      <c r="G27" s="413">
        <f>G26+G20</f>
        <v>6306886</v>
      </c>
      <c r="H27" s="414">
        <f>H26+H20</f>
        <v>6643218</v>
      </c>
      <c r="I27" s="414">
        <f>I26+I20</f>
        <v>3284078</v>
      </c>
      <c r="J27" s="415">
        <f t="shared" si="10"/>
        <v>49.435047893957417</v>
      </c>
      <c r="K27" s="370"/>
      <c r="L27" s="433">
        <f>L26+L20</f>
        <v>45628</v>
      </c>
      <c r="M27" s="362">
        <f>M26+M20</f>
        <v>13235809</v>
      </c>
      <c r="N27" s="362">
        <f>N26+N20</f>
        <v>7435470</v>
      </c>
      <c r="O27" s="378">
        <f>(N27/M27)*100</f>
        <v>56.176921259592064</v>
      </c>
    </row>
    <row r="28" spans="1:15" ht="13.5" thickBot="1" x14ac:dyDescent="0.25">
      <c r="A28" s="394"/>
      <c r="B28" s="394"/>
      <c r="C28" s="412"/>
      <c r="D28" s="412"/>
      <c r="E28" s="394"/>
      <c r="F28" s="13"/>
      <c r="G28" s="394"/>
      <c r="H28" s="412"/>
      <c r="I28" s="412"/>
      <c r="J28" s="394"/>
      <c r="K28" s="13"/>
      <c r="L28" s="394"/>
      <c r="M28" s="412"/>
      <c r="N28" s="412"/>
      <c r="O28" s="394"/>
    </row>
    <row r="29" spans="1:15" ht="15.75" thickBot="1" x14ac:dyDescent="0.25">
      <c r="A29" s="409" t="s">
        <v>142</v>
      </c>
      <c r="B29" s="410">
        <f>B27-B16</f>
        <v>441659</v>
      </c>
      <c r="C29" s="410">
        <f>C27-C16</f>
        <v>798731</v>
      </c>
      <c r="D29" s="410">
        <f>D27-D16</f>
        <v>-1829285</v>
      </c>
      <c r="E29" s="411"/>
      <c r="F29" s="370"/>
      <c r="G29" s="416">
        <f>G27-G16</f>
        <v>430031</v>
      </c>
      <c r="H29" s="410">
        <f>H27-H16</f>
        <v>648715</v>
      </c>
      <c r="I29" s="410">
        <f>I27-I16</f>
        <v>47866</v>
      </c>
      <c r="J29" s="411"/>
      <c r="K29" s="370"/>
      <c r="L29" s="417">
        <f>L27-L16</f>
        <v>11628</v>
      </c>
      <c r="M29" s="418">
        <f>M27-M16</f>
        <v>150016</v>
      </c>
      <c r="N29" s="418">
        <f>N27-N16</f>
        <v>-1877151</v>
      </c>
      <c r="O29" s="419"/>
    </row>
    <row r="31" spans="1:15" ht="20.25" x14ac:dyDescent="0.3">
      <c r="A31" s="358" t="s">
        <v>158</v>
      </c>
      <c r="B31" s="358"/>
      <c r="C31" s="358"/>
      <c r="D31" s="358"/>
      <c r="E31" s="358"/>
      <c r="F31" s="358"/>
    </row>
    <row r="32" spans="1:15" ht="15" thickBot="1" x14ac:dyDescent="0.25">
      <c r="A32" s="507"/>
      <c r="B32" s="507"/>
      <c r="C32" s="507"/>
      <c r="D32" s="507"/>
      <c r="E32" s="507"/>
      <c r="F32" s="354"/>
      <c r="N32" s="2" t="s">
        <v>0</v>
      </c>
    </row>
    <row r="33" spans="1:14" ht="17.100000000000001" customHeight="1" thickBot="1" x14ac:dyDescent="0.25">
      <c r="B33" s="501" t="s">
        <v>130</v>
      </c>
      <c r="C33" s="502"/>
      <c r="D33" s="503"/>
      <c r="G33" s="501" t="s">
        <v>131</v>
      </c>
      <c r="H33" s="502"/>
      <c r="I33" s="503"/>
      <c r="L33" s="501" t="s">
        <v>132</v>
      </c>
      <c r="M33" s="502"/>
      <c r="N33" s="503"/>
    </row>
    <row r="34" spans="1:14" ht="20.100000000000001" customHeight="1" thickBot="1" x14ac:dyDescent="0.25">
      <c r="A34" s="389" t="s">
        <v>1</v>
      </c>
      <c r="B34" s="423" t="s">
        <v>159</v>
      </c>
      <c r="C34" s="423" t="s">
        <v>160</v>
      </c>
      <c r="D34" s="424" t="s">
        <v>133</v>
      </c>
      <c r="G34" s="422" t="s">
        <v>159</v>
      </c>
      <c r="H34" s="423" t="s">
        <v>160</v>
      </c>
      <c r="I34" s="424" t="s">
        <v>133</v>
      </c>
      <c r="L34" s="422" t="s">
        <v>159</v>
      </c>
      <c r="M34" s="423" t="s">
        <v>160</v>
      </c>
      <c r="N34" s="424" t="s">
        <v>133</v>
      </c>
    </row>
    <row r="35" spans="1:14" ht="15" thickTop="1" x14ac:dyDescent="0.2">
      <c r="A35" s="420" t="s">
        <v>101</v>
      </c>
      <c r="B35" s="343">
        <v>2462212</v>
      </c>
      <c r="C35" s="343">
        <f>D6</f>
        <v>2817357</v>
      </c>
      <c r="D35" s="492">
        <f t="shared" ref="D35:D41" si="13">(C35/B35)*100</f>
        <v>114.42381890755142</v>
      </c>
      <c r="G35" s="421">
        <v>2428081</v>
      </c>
      <c r="H35" s="353">
        <f>I6</f>
        <v>2777986</v>
      </c>
      <c r="I35" s="495">
        <f t="shared" ref="I35:I41" si="14">(H35/G35)*100</f>
        <v>114.41076306762419</v>
      </c>
      <c r="L35" s="499">
        <v>34131</v>
      </c>
      <c r="M35" s="343">
        <f>N6</f>
        <v>39371</v>
      </c>
      <c r="N35" s="492">
        <f>(M35/L35)*100</f>
        <v>115.35261199496058</v>
      </c>
    </row>
    <row r="36" spans="1:14" ht="14.25" x14ac:dyDescent="0.2">
      <c r="A36" s="379" t="s">
        <v>102</v>
      </c>
      <c r="B36" s="344">
        <v>409337</v>
      </c>
      <c r="C36" s="344">
        <f>D11</f>
        <v>320805</v>
      </c>
      <c r="D36" s="487">
        <f t="shared" si="13"/>
        <v>78.371854975240453</v>
      </c>
      <c r="G36" s="392">
        <v>390425</v>
      </c>
      <c r="H36" s="344">
        <f>I11</f>
        <v>303079</v>
      </c>
      <c r="I36" s="487">
        <f t="shared" si="14"/>
        <v>77.627969520394444</v>
      </c>
      <c r="L36" s="392">
        <v>18912</v>
      </c>
      <c r="M36" s="344">
        <f>N11</f>
        <v>17726</v>
      </c>
      <c r="N36" s="487">
        <f t="shared" ref="N36" si="15">(M36/L36)*100</f>
        <v>93.728849407783414</v>
      </c>
    </row>
    <row r="37" spans="1:14" ht="14.25" x14ac:dyDescent="0.2">
      <c r="A37" s="380" t="s">
        <v>103</v>
      </c>
      <c r="B37" s="344">
        <v>116</v>
      </c>
      <c r="C37" s="344">
        <f>D12</f>
        <v>407</v>
      </c>
      <c r="D37" s="487">
        <f t="shared" si="13"/>
        <v>350.86206896551727</v>
      </c>
      <c r="G37" s="392">
        <v>116</v>
      </c>
      <c r="H37" s="344">
        <f>I12</f>
        <v>407</v>
      </c>
      <c r="I37" s="487">
        <f t="shared" si="14"/>
        <v>350.86206896551727</v>
      </c>
      <c r="L37" s="392">
        <v>0</v>
      </c>
      <c r="M37" s="344">
        <f>N12</f>
        <v>0</v>
      </c>
      <c r="N37" s="487">
        <v>0</v>
      </c>
    </row>
    <row r="38" spans="1:14" ht="14.25" x14ac:dyDescent="0.2">
      <c r="A38" s="379" t="s">
        <v>104</v>
      </c>
      <c r="B38" s="344">
        <v>9963526</v>
      </c>
      <c r="C38" s="344">
        <f>D13</f>
        <v>9410264</v>
      </c>
      <c r="D38" s="487">
        <f t="shared" si="13"/>
        <v>94.447126449010128</v>
      </c>
      <c r="G38" s="392">
        <v>526018</v>
      </c>
      <c r="H38" s="344">
        <f>I13</f>
        <v>154740</v>
      </c>
      <c r="I38" s="487">
        <f t="shared" si="14"/>
        <v>29.417244276811822</v>
      </c>
      <c r="L38" s="392">
        <v>9437508</v>
      </c>
      <c r="M38" s="344">
        <f>N13</f>
        <v>9255524</v>
      </c>
      <c r="N38" s="487">
        <f t="shared" ref="N38:N40" si="16">(M38/L38)*100</f>
        <v>98.071694349821996</v>
      </c>
    </row>
    <row r="39" spans="1:14" ht="14.25" x14ac:dyDescent="0.2">
      <c r="A39" s="359" t="s">
        <v>140</v>
      </c>
      <c r="B39" s="444">
        <v>9280634</v>
      </c>
      <c r="C39" s="444">
        <f>D14</f>
        <v>9256327</v>
      </c>
      <c r="D39" s="489">
        <f t="shared" si="13"/>
        <v>99.738089014177262</v>
      </c>
      <c r="G39" s="447">
        <v>86561</v>
      </c>
      <c r="H39" s="444">
        <f>I14</f>
        <v>103442</v>
      </c>
      <c r="I39" s="489">
        <f t="shared" si="14"/>
        <v>119.5018541837548</v>
      </c>
      <c r="L39" s="447">
        <v>9194073</v>
      </c>
      <c r="M39" s="444">
        <f>N14</f>
        <v>9152885</v>
      </c>
      <c r="N39" s="489">
        <f t="shared" si="16"/>
        <v>99.552015738835237</v>
      </c>
    </row>
    <row r="40" spans="1:14" ht="15" thickBot="1" x14ac:dyDescent="0.25">
      <c r="A40" s="383" t="s">
        <v>141</v>
      </c>
      <c r="B40" s="452">
        <v>682892</v>
      </c>
      <c r="C40" s="452">
        <f>D15</f>
        <v>153937</v>
      </c>
      <c r="D40" s="493">
        <f t="shared" si="13"/>
        <v>22.541924638156548</v>
      </c>
      <c r="G40" s="496">
        <v>439457</v>
      </c>
      <c r="H40" s="452">
        <f>I15</f>
        <v>51298</v>
      </c>
      <c r="I40" s="493">
        <f t="shared" si="14"/>
        <v>11.673041958598908</v>
      </c>
      <c r="L40" s="496">
        <v>243435</v>
      </c>
      <c r="M40" s="452">
        <f>N15</f>
        <v>102639</v>
      </c>
      <c r="N40" s="493">
        <f t="shared" si="16"/>
        <v>42.162794996611005</v>
      </c>
    </row>
    <row r="41" spans="1:14" ht="17.25" thickTop="1" thickBot="1" x14ac:dyDescent="0.3">
      <c r="A41" s="432" t="s">
        <v>8</v>
      </c>
      <c r="B41" s="472">
        <f>SUM(B35:B38)</f>
        <v>12835191</v>
      </c>
      <c r="C41" s="472">
        <f>SUM(C35:C38)</f>
        <v>12548833</v>
      </c>
      <c r="D41" s="494">
        <f t="shared" si="13"/>
        <v>97.768961911045977</v>
      </c>
      <c r="G41" s="497">
        <f>SUM(G35:G38)</f>
        <v>3344640</v>
      </c>
      <c r="H41" s="364">
        <f>SUM(H35:H38)</f>
        <v>3236212</v>
      </c>
      <c r="I41" s="498">
        <f t="shared" si="14"/>
        <v>96.758156333716045</v>
      </c>
      <c r="L41" s="497">
        <f>SUM(L35:L38)</f>
        <v>9490551</v>
      </c>
      <c r="M41" s="364">
        <f>SUM(M35:M38)</f>
        <v>9312621</v>
      </c>
      <c r="N41" s="498">
        <f t="shared" ref="N41" si="17">(M41/L41)*100</f>
        <v>98.125187884244028</v>
      </c>
    </row>
    <row r="42" spans="1:14" ht="13.5" thickBot="1" x14ac:dyDescent="0.25">
      <c r="A42" s="225"/>
      <c r="B42" s="226"/>
      <c r="C42" s="226"/>
      <c r="D42" s="225"/>
      <c r="G42" s="13"/>
    </row>
    <row r="43" spans="1:14" ht="20.100000000000001" customHeight="1" thickBot="1" x14ac:dyDescent="0.25">
      <c r="A43" s="389" t="s">
        <v>91</v>
      </c>
      <c r="B43" s="425" t="s">
        <v>159</v>
      </c>
      <c r="C43" s="425" t="s">
        <v>160</v>
      </c>
      <c r="D43" s="426" t="s">
        <v>133</v>
      </c>
      <c r="G43" s="427" t="s">
        <v>159</v>
      </c>
      <c r="H43" s="425" t="s">
        <v>160</v>
      </c>
      <c r="I43" s="426" t="s">
        <v>133</v>
      </c>
      <c r="L43" s="427" t="s">
        <v>159</v>
      </c>
      <c r="M43" s="425" t="s">
        <v>160</v>
      </c>
      <c r="N43" s="426" t="s">
        <v>133</v>
      </c>
    </row>
    <row r="44" spans="1:14" s="357" customFormat="1" ht="15" thickTop="1" x14ac:dyDescent="0.2">
      <c r="A44" s="430" t="s">
        <v>112</v>
      </c>
      <c r="B44" s="473">
        <v>9859132</v>
      </c>
      <c r="C44" s="473">
        <f>D20</f>
        <v>10128070</v>
      </c>
      <c r="D44" s="428">
        <f>C44/B44*100</f>
        <v>102.72780605838324</v>
      </c>
      <c r="G44" s="499">
        <v>2566078</v>
      </c>
      <c r="H44" s="343">
        <f>I20</f>
        <v>2824100</v>
      </c>
      <c r="I44" s="428">
        <f>H44/G44*100</f>
        <v>110.05511134112058</v>
      </c>
      <c r="L44" s="420">
        <v>7293054</v>
      </c>
      <c r="M44" s="473">
        <f t="shared" ref="M44:M50" si="18">N20</f>
        <v>7303970</v>
      </c>
      <c r="N44" s="428">
        <f>M44/L44*100</f>
        <v>100.14967666494724</v>
      </c>
    </row>
    <row r="45" spans="1:14" ht="14.25" x14ac:dyDescent="0.2">
      <c r="A45" s="359" t="s">
        <v>137</v>
      </c>
      <c r="B45" s="444">
        <v>183917</v>
      </c>
      <c r="C45" s="444">
        <f>H45+M45</f>
        <v>180351</v>
      </c>
      <c r="D45" s="400">
        <f>(C45/B45)*100</f>
        <v>98.061081901074942</v>
      </c>
      <c r="G45" s="447">
        <v>178794</v>
      </c>
      <c r="H45" s="444">
        <f>I21</f>
        <v>175194</v>
      </c>
      <c r="I45" s="400">
        <f>(H45/G45)*100</f>
        <v>97.98650961441659</v>
      </c>
      <c r="L45" s="447">
        <v>5123</v>
      </c>
      <c r="M45" s="444">
        <f t="shared" si="18"/>
        <v>5157</v>
      </c>
      <c r="N45" s="401">
        <f>(M45/L45)*100</f>
        <v>100.66367362873316</v>
      </c>
    </row>
    <row r="46" spans="1:14" ht="14.25" x14ac:dyDescent="0.2">
      <c r="A46" s="359" t="s">
        <v>128</v>
      </c>
      <c r="B46" s="444">
        <v>1046554</v>
      </c>
      <c r="C46" s="444">
        <f>H46+M46</f>
        <v>1109816</v>
      </c>
      <c r="D46" s="400">
        <f>(C46/B46)*100</f>
        <v>106.04479080869214</v>
      </c>
      <c r="G46" s="447">
        <v>1046554</v>
      </c>
      <c r="H46" s="444">
        <f t="shared" ref="H46:H49" si="19">I22</f>
        <v>1109816</v>
      </c>
      <c r="I46" s="400">
        <f>(H46/G46)*100</f>
        <v>106.04479080869214</v>
      </c>
      <c r="L46" s="447">
        <v>0</v>
      </c>
      <c r="M46" s="444">
        <f t="shared" si="18"/>
        <v>0</v>
      </c>
      <c r="N46" s="401">
        <v>0</v>
      </c>
    </row>
    <row r="47" spans="1:14" ht="14.25" x14ac:dyDescent="0.2">
      <c r="A47" s="360" t="s">
        <v>138</v>
      </c>
      <c r="B47" s="444">
        <v>999611</v>
      </c>
      <c r="C47" s="444">
        <f>H47+M47</f>
        <v>1120690</v>
      </c>
      <c r="D47" s="400">
        <f>(C47/B47)*100</f>
        <v>112.11261180599253</v>
      </c>
      <c r="G47" s="447">
        <v>999611</v>
      </c>
      <c r="H47" s="444">
        <f t="shared" si="19"/>
        <v>1120690</v>
      </c>
      <c r="I47" s="400">
        <f>(H47/G47)*100</f>
        <v>112.11261180599253</v>
      </c>
      <c r="L47" s="447">
        <v>0</v>
      </c>
      <c r="M47" s="444">
        <f t="shared" si="18"/>
        <v>0</v>
      </c>
      <c r="N47" s="401">
        <v>0</v>
      </c>
    </row>
    <row r="48" spans="1:14" ht="14.25" x14ac:dyDescent="0.2">
      <c r="A48" s="359" t="s">
        <v>145</v>
      </c>
      <c r="B48" s="444">
        <v>161338</v>
      </c>
      <c r="C48" s="444">
        <f>H48+M48</f>
        <v>156259</v>
      </c>
      <c r="D48" s="400">
        <f>(C48/B48)*100</f>
        <v>96.851950563413453</v>
      </c>
      <c r="G48" s="447">
        <v>158217</v>
      </c>
      <c r="H48" s="444">
        <f>I24</f>
        <v>153263</v>
      </c>
      <c r="I48" s="400">
        <f>(H48/G48)*100</f>
        <v>96.868857328858468</v>
      </c>
      <c r="L48" s="447">
        <v>3121</v>
      </c>
      <c r="M48" s="444">
        <f t="shared" si="18"/>
        <v>2996</v>
      </c>
      <c r="N48" s="401">
        <f>(M48/L48)*100</f>
        <v>95.994873438000639</v>
      </c>
    </row>
    <row r="49" spans="1:14" ht="14.25" x14ac:dyDescent="0.2">
      <c r="A49" s="359" t="s">
        <v>146</v>
      </c>
      <c r="B49" s="444">
        <v>7467712</v>
      </c>
      <c r="C49" s="444">
        <f>H49+M49</f>
        <v>7560954</v>
      </c>
      <c r="D49" s="400">
        <f>(C49/B49)*100</f>
        <v>101.24860198143688</v>
      </c>
      <c r="G49" s="447">
        <v>182902</v>
      </c>
      <c r="H49" s="444">
        <f t="shared" si="19"/>
        <v>265137</v>
      </c>
      <c r="I49" s="400">
        <f>(H49/G49)*100</f>
        <v>144.96123607177614</v>
      </c>
      <c r="L49" s="447">
        <v>7284810</v>
      </c>
      <c r="M49" s="444">
        <f t="shared" si="18"/>
        <v>7295817</v>
      </c>
      <c r="N49" s="401">
        <f>(M49/L49)*100</f>
        <v>100.15109522417194</v>
      </c>
    </row>
    <row r="50" spans="1:14" s="357" customFormat="1" ht="15" thickBot="1" x14ac:dyDescent="0.25">
      <c r="A50" s="431" t="s">
        <v>113</v>
      </c>
      <c r="B50" s="474">
        <v>792523</v>
      </c>
      <c r="C50" s="474">
        <f>D26</f>
        <v>591478</v>
      </c>
      <c r="D50" s="429">
        <f>C50/B50*100</f>
        <v>74.632281965318356</v>
      </c>
      <c r="G50" s="393">
        <v>308423</v>
      </c>
      <c r="H50" s="408">
        <f t="shared" ref="H50" si="20">I26</f>
        <v>459978</v>
      </c>
      <c r="I50" s="429">
        <f>H50/G50*100</f>
        <v>149.13868291275293</v>
      </c>
      <c r="L50" s="490">
        <v>484100</v>
      </c>
      <c r="M50" s="474">
        <f t="shared" si="18"/>
        <v>131500</v>
      </c>
      <c r="N50" s="429">
        <f>M50/L50*100</f>
        <v>27.163809130344969</v>
      </c>
    </row>
    <row r="51" spans="1:14" ht="16.5" thickTop="1" thickBot="1" x14ac:dyDescent="0.25">
      <c r="A51" s="409" t="s">
        <v>135</v>
      </c>
      <c r="B51" s="475">
        <f t="shared" ref="B51" si="21">B50+B44</f>
        <v>10651655</v>
      </c>
      <c r="C51" s="475">
        <f t="shared" ref="C51" si="22">C50+C44</f>
        <v>10719548</v>
      </c>
      <c r="D51" s="411">
        <f>C51/B51*100</f>
        <v>100.63739390733177</v>
      </c>
      <c r="G51" s="500">
        <f t="shared" ref="G51" si="23">G50+G44</f>
        <v>2874501</v>
      </c>
      <c r="H51" s="475">
        <f t="shared" ref="H51" si="24">H50+H44</f>
        <v>3284078</v>
      </c>
      <c r="I51" s="411">
        <f>H51/G51*100</f>
        <v>114.24862958823114</v>
      </c>
      <c r="L51" s="500">
        <f t="shared" ref="L51" si="25">L50+L44</f>
        <v>7777154</v>
      </c>
      <c r="M51" s="475">
        <f t="shared" ref="M51" si="26">M50+M44</f>
        <v>7435470</v>
      </c>
      <c r="N51" s="411">
        <f>M51/L51*100</f>
        <v>95.606567646725267</v>
      </c>
    </row>
    <row r="52" spans="1:14" ht="13.5" thickBot="1" x14ac:dyDescent="0.25">
      <c r="B52" s="169"/>
      <c r="D52" s="1"/>
      <c r="G52" s="169"/>
      <c r="H52" s="169"/>
      <c r="L52" s="169"/>
      <c r="M52" s="169"/>
    </row>
    <row r="53" spans="1:14" ht="15.75" thickBot="1" x14ac:dyDescent="0.25">
      <c r="A53" s="434" t="s">
        <v>142</v>
      </c>
      <c r="B53" s="418">
        <f>B51-B41</f>
        <v>-2183536</v>
      </c>
      <c r="C53" s="418">
        <f>C51-C41</f>
        <v>-1829285</v>
      </c>
      <c r="D53" s="435"/>
      <c r="E53" s="363"/>
      <c r="F53" s="363"/>
      <c r="G53" s="417">
        <f>G51-G41</f>
        <v>-470139</v>
      </c>
      <c r="H53" s="418">
        <f>H51-H41</f>
        <v>47866</v>
      </c>
      <c r="I53" s="435"/>
      <c r="J53" s="363"/>
      <c r="K53" s="363"/>
      <c r="L53" s="417">
        <f>L51-L41</f>
        <v>-1713397</v>
      </c>
      <c r="M53" s="418">
        <f>M51-M41</f>
        <v>-1877151</v>
      </c>
      <c r="N53" s="435"/>
    </row>
    <row r="54" spans="1:14" x14ac:dyDescent="0.2">
      <c r="B54" s="169"/>
      <c r="D54" s="1"/>
    </row>
    <row r="55" spans="1:14" x14ac:dyDescent="0.2">
      <c r="B55" s="169"/>
      <c r="D55" s="1"/>
    </row>
    <row r="56" spans="1:14" x14ac:dyDescent="0.2">
      <c r="B56" s="169"/>
      <c r="D56" s="1"/>
    </row>
    <row r="57" spans="1:14" x14ac:dyDescent="0.2">
      <c r="B57" s="169"/>
      <c r="D57" s="1"/>
    </row>
    <row r="58" spans="1:14" x14ac:dyDescent="0.2">
      <c r="B58" s="169"/>
      <c r="D58" s="1"/>
    </row>
  </sheetData>
  <mergeCells count="7">
    <mergeCell ref="B33:D33"/>
    <mergeCell ref="G33:I33"/>
    <mergeCell ref="L33:N33"/>
    <mergeCell ref="G3:J3"/>
    <mergeCell ref="L3:O3"/>
    <mergeCell ref="A32:E32"/>
    <mergeCell ref="B3:E3"/>
  </mergeCells>
  <phoneticPr fontId="5" type="noConversion"/>
  <pageMargins left="0.59055118110236227" right="0.19685039370078741" top="0.39370078740157483" bottom="0.98425196850393704" header="0" footer="0.51181102362204722"/>
  <pageSetup paperSize="9" scale="62" firstPageNumber="3" orientation="landscape" cellComments="asDisplayed" useFirstPageNumber="1" r:id="rId1"/>
  <headerFooter alignWithMargins="0">
    <oddFooter xml:space="preserve">&amp;L&amp;"Arial CE,Kurzíva"Zastupitelstvo Olomouckého kraje 26. 9. 2022
9.4. - Rozpočet Olomouckého kraje 2022 - plnění rozpočtu k 30. 6. 2022
Příloha č. 1 - Bilance Olomouckého kraje k 30. 6. 2022&amp;R&amp;"Arial CE,Kurzíva"Strana &amp;P (Celkem 8)
</oddFooter>
  </headerFooter>
  <rowBreaks count="1" manualBreakCount="1">
    <brk id="53" max="14" man="1"/>
  </rowBreaks>
  <colBreaks count="1" manualBreakCount="1">
    <brk id="19" max="29" man="1"/>
  </colBreaks>
  <ignoredErrors>
    <ignoredError sqref="B41 G41 L4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27"/>
  <sheetViews>
    <sheetView showGridLines="0" view="pageBreakPreview" zoomScale="110" zoomScaleNormal="100" zoomScaleSheetLayoutView="110" workbookViewId="0">
      <selection activeCell="E14" sqref="E14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9" customWidth="1"/>
    <col min="4" max="4" width="15.7109375" style="169" customWidth="1"/>
    <col min="5" max="5" width="11.28515625" style="1" customWidth="1"/>
    <col min="6" max="6" width="10.85546875" style="1" customWidth="1"/>
    <col min="7" max="7" width="10.140625" style="1" bestFit="1" customWidth="1"/>
    <col min="8" max="16384" width="9.140625" style="1"/>
  </cols>
  <sheetData>
    <row r="1" spans="1:7" ht="20.25" x14ac:dyDescent="0.3">
      <c r="A1" s="512" t="s">
        <v>152</v>
      </c>
      <c r="B1" s="512"/>
      <c r="C1" s="512"/>
      <c r="D1" s="512"/>
      <c r="E1" s="512"/>
    </row>
    <row r="3" spans="1:7" x14ac:dyDescent="0.2">
      <c r="A3" s="507" t="s">
        <v>94</v>
      </c>
      <c r="B3" s="507"/>
      <c r="C3" s="507"/>
      <c r="D3" s="507"/>
      <c r="E3" s="507"/>
    </row>
    <row r="4" spans="1:7" ht="30.75" customHeight="1" x14ac:dyDescent="0.2">
      <c r="A4" s="507"/>
      <c r="B4" s="507"/>
      <c r="C4" s="507"/>
      <c r="D4" s="507"/>
      <c r="E4" s="507"/>
    </row>
    <row r="6" spans="1:7" ht="13.5" thickBot="1" x14ac:dyDescent="0.25">
      <c r="B6" s="9"/>
      <c r="C6" s="174"/>
      <c r="D6" s="170"/>
      <c r="E6" s="2" t="s">
        <v>0</v>
      </c>
    </row>
    <row r="7" spans="1:7" s="10" customFormat="1" ht="18.75" customHeight="1" thickTop="1" thickBot="1" x14ac:dyDescent="0.25">
      <c r="A7" s="263" t="s">
        <v>1</v>
      </c>
      <c r="B7" s="264" t="s">
        <v>11</v>
      </c>
      <c r="C7" s="264" t="s">
        <v>12</v>
      </c>
      <c r="D7" s="264" t="s">
        <v>4</v>
      </c>
      <c r="E7" s="265" t="s">
        <v>5</v>
      </c>
    </row>
    <row r="8" spans="1:7" s="4" customFormat="1" thickTop="1" thickBot="1" x14ac:dyDescent="0.25">
      <c r="A8" s="266">
        <v>1</v>
      </c>
      <c r="B8" s="264">
        <v>2</v>
      </c>
      <c r="C8" s="264">
        <v>3</v>
      </c>
      <c r="D8" s="264">
        <v>4</v>
      </c>
      <c r="E8" s="267" t="s">
        <v>95</v>
      </c>
    </row>
    <row r="9" spans="1:7" ht="18.95" customHeight="1" thickTop="1" x14ac:dyDescent="0.2">
      <c r="A9" s="223" t="s">
        <v>101</v>
      </c>
      <c r="B9" s="227">
        <v>5244006</v>
      </c>
      <c r="C9" s="232">
        <v>5251950</v>
      </c>
      <c r="D9" s="232">
        <v>2817357</v>
      </c>
      <c r="E9" s="80">
        <f>(D9/C9)*100</f>
        <v>53.644017936195134</v>
      </c>
    </row>
    <row r="10" spans="1:7" ht="18.95" customHeight="1" x14ac:dyDescent="0.2">
      <c r="A10" s="223" t="s">
        <v>102</v>
      </c>
      <c r="B10" s="228">
        <v>473010</v>
      </c>
      <c r="C10" s="232">
        <v>524130</v>
      </c>
      <c r="D10" s="232">
        <v>320805</v>
      </c>
      <c r="E10" s="81">
        <f t="shared" ref="E10:E14" si="0">(D10/C10)*100</f>
        <v>61.207143265983632</v>
      </c>
    </row>
    <row r="11" spans="1:7" ht="18.95" customHeight="1" x14ac:dyDescent="0.2">
      <c r="A11" s="297" t="s">
        <v>103</v>
      </c>
      <c r="B11" s="228">
        <v>9005</v>
      </c>
      <c r="C11" s="232">
        <v>9005</v>
      </c>
      <c r="D11" s="232">
        <v>407</v>
      </c>
      <c r="E11" s="81">
        <f>(D11/C11)*100</f>
        <v>4.5197112715158241</v>
      </c>
    </row>
    <row r="12" spans="1:7" ht="18.95" customHeight="1" x14ac:dyDescent="0.2">
      <c r="A12" s="224" t="s">
        <v>104</v>
      </c>
      <c r="B12" s="229">
        <v>196149</v>
      </c>
      <c r="C12" s="233">
        <v>13306766</v>
      </c>
      <c r="D12" s="233">
        <v>19903075</v>
      </c>
      <c r="E12" s="81">
        <f t="shared" si="0"/>
        <v>149.57109037612895</v>
      </c>
      <c r="G12" s="11"/>
    </row>
    <row r="13" spans="1:7" ht="18.95" customHeight="1" x14ac:dyDescent="0.25">
      <c r="A13" s="12" t="s">
        <v>8</v>
      </c>
      <c r="B13" s="230">
        <f>SUM(B9:B12)</f>
        <v>5922170</v>
      </c>
      <c r="C13" s="234">
        <f>SUM(C9:C12)</f>
        <v>19091851</v>
      </c>
      <c r="D13" s="234">
        <f>SUM(D9:D12)</f>
        <v>23041644</v>
      </c>
      <c r="E13" s="83">
        <f t="shared" si="0"/>
        <v>120.68837117993432</v>
      </c>
    </row>
    <row r="14" spans="1:7" s="6" customFormat="1" ht="21.75" customHeight="1" x14ac:dyDescent="0.2">
      <c r="A14" s="7" t="s">
        <v>105</v>
      </c>
      <c r="B14" s="227">
        <v>11315</v>
      </c>
      <c r="C14" s="235">
        <v>11555</v>
      </c>
      <c r="D14" s="232">
        <v>10492811</v>
      </c>
      <c r="E14" s="81">
        <f t="shared" si="0"/>
        <v>90807.537862397221</v>
      </c>
    </row>
    <row r="15" spans="1:7" s="6" customFormat="1" ht="45.75" customHeight="1" thickBot="1" x14ac:dyDescent="0.3">
      <c r="A15" s="8" t="s">
        <v>7</v>
      </c>
      <c r="B15" s="231">
        <f>B13-B14</f>
        <v>5910855</v>
      </c>
      <c r="C15" s="236">
        <f>C13-C14</f>
        <v>19080296</v>
      </c>
      <c r="D15" s="236">
        <f>D13-D14</f>
        <v>12548833</v>
      </c>
      <c r="E15" s="82">
        <f>(D15/C15)*100</f>
        <v>65.768544680858199</v>
      </c>
    </row>
    <row r="16" spans="1:7" ht="13.5" thickTop="1" x14ac:dyDescent="0.2">
      <c r="A16" s="225"/>
      <c r="B16" s="225"/>
      <c r="C16" s="226"/>
      <c r="D16" s="226"/>
      <c r="E16" s="225"/>
    </row>
    <row r="17" spans="1:7" x14ac:dyDescent="0.2">
      <c r="A17" s="511" t="s">
        <v>124</v>
      </c>
      <c r="B17" s="511"/>
      <c r="C17" s="511"/>
      <c r="D17" s="511"/>
      <c r="E17" s="511"/>
    </row>
    <row r="18" spans="1:7" x14ac:dyDescent="0.2">
      <c r="A18" s="511"/>
      <c r="B18" s="511"/>
      <c r="C18" s="511"/>
      <c r="D18" s="511"/>
      <c r="E18" s="511"/>
      <c r="F18" s="13"/>
      <c r="G18" s="13"/>
    </row>
    <row r="19" spans="1:7" x14ac:dyDescent="0.2">
      <c r="A19" s="225"/>
      <c r="B19" s="225"/>
      <c r="C19" s="226"/>
      <c r="D19" s="226"/>
      <c r="E19" s="225"/>
      <c r="F19" s="13"/>
      <c r="G19" s="13"/>
    </row>
    <row r="20" spans="1:7" x14ac:dyDescent="0.2">
      <c r="A20" s="225"/>
      <c r="B20" s="225"/>
      <c r="C20" s="226"/>
      <c r="D20" s="226"/>
      <c r="E20" s="225"/>
      <c r="F20" s="13"/>
      <c r="G20" s="13"/>
    </row>
    <row r="21" spans="1:7" x14ac:dyDescent="0.2">
      <c r="A21" s="225"/>
      <c r="B21" s="355"/>
      <c r="C21" s="226"/>
      <c r="D21" s="226"/>
      <c r="E21" s="225"/>
    </row>
    <row r="24" spans="1:7" ht="21.75" customHeight="1" x14ac:dyDescent="0.2">
      <c r="B24" s="262"/>
      <c r="C24" s="262"/>
      <c r="D24" s="262"/>
    </row>
    <row r="25" spans="1:7" ht="28.5" customHeight="1" x14ac:dyDescent="0.2">
      <c r="B25" s="262"/>
      <c r="C25" s="262"/>
      <c r="D25" s="262"/>
    </row>
    <row r="27" spans="1:7" x14ac:dyDescent="0.2">
      <c r="C27" s="1"/>
      <c r="D27" s="1"/>
    </row>
  </sheetData>
  <mergeCells count="3">
    <mergeCell ref="A3:E4"/>
    <mergeCell ref="A17:E18"/>
    <mergeCell ref="A1:E1"/>
  </mergeCells>
  <phoneticPr fontId="5" type="noConversion"/>
  <pageMargins left="0.98425196850393704" right="0" top="0.98425196850393704" bottom="0.98425196850393704" header="0.51181102362204722" footer="0.51181102362204722"/>
  <pageSetup paperSize="9" scale="85" firstPageNumber="4" orientation="portrait" cellComments="asDisplayed" useFirstPageNumber="1" r:id="rId1"/>
  <headerFooter alignWithMargins="0">
    <oddFooter xml:space="preserve">&amp;L&amp;"Arial CE,Kurzíva"Zastupitelstvo Olomouckého kraje 26. 9. 2022
9.4. - Rozpočet Olomouckého kraje 2022 - plnění rozpočtu k 30. 6. 2022
Příloha č. 2 - Plnění rozpočtu Olomouckého kraje k 30. 6. 2022&amp;R&amp;"Arial CE,Kurzíva"Strana &amp;P (Celkem 8)
</oddFooter>
  </headerFooter>
  <ignoredErrors>
    <ignoredError sqref="B13:D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O124"/>
  <sheetViews>
    <sheetView showGridLines="0" view="pageBreakPreview" zoomScaleNormal="100" zoomScaleSheetLayoutView="100" workbookViewId="0">
      <selection activeCell="E74" sqref="E74"/>
    </sheetView>
  </sheetViews>
  <sheetFormatPr defaultColWidth="9.140625" defaultRowHeight="14.25" x14ac:dyDescent="0.2"/>
  <cols>
    <col min="1" max="1" width="53.42578125" style="222" customWidth="1"/>
    <col min="2" max="2" width="5.140625" style="112" customWidth="1"/>
    <col min="3" max="3" width="14.42578125" style="124" customWidth="1"/>
    <col min="4" max="4" width="15" style="124" customWidth="1"/>
    <col min="5" max="5" width="15.5703125" style="124" customWidth="1"/>
    <col min="6" max="6" width="10.5703125" style="124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517" t="s">
        <v>153</v>
      </c>
      <c r="B1" s="518"/>
      <c r="C1" s="518"/>
      <c r="D1" s="518"/>
      <c r="E1" s="518"/>
      <c r="F1" s="518"/>
      <c r="G1" s="14"/>
      <c r="H1" s="14"/>
      <c r="I1" s="14"/>
      <c r="K1" s="16"/>
    </row>
    <row r="2" spans="1:14" ht="23.25" x14ac:dyDescent="0.35">
      <c r="A2" s="519"/>
      <c r="B2" s="519"/>
      <c r="C2" s="519"/>
      <c r="D2" s="519"/>
      <c r="E2" s="519"/>
      <c r="F2" s="519"/>
      <c r="G2" s="18"/>
      <c r="H2" s="18"/>
      <c r="I2" s="18"/>
      <c r="K2" s="16"/>
    </row>
    <row r="3" spans="1:14" ht="15" thickBot="1" x14ac:dyDescent="0.25">
      <c r="F3" s="296" t="s">
        <v>0</v>
      </c>
      <c r="G3" s="23"/>
      <c r="H3" s="23"/>
      <c r="I3" s="23"/>
    </row>
    <row r="4" spans="1:14" s="25" customFormat="1" ht="24" thickTop="1" thickBot="1" x14ac:dyDescent="0.25">
      <c r="A4" s="268" t="s">
        <v>9</v>
      </c>
      <c r="B4" s="269" t="s">
        <v>10</v>
      </c>
      <c r="C4" s="270" t="s">
        <v>11</v>
      </c>
      <c r="D4" s="270" t="s">
        <v>12</v>
      </c>
      <c r="E4" s="270" t="s">
        <v>4</v>
      </c>
      <c r="F4" s="271" t="s">
        <v>5</v>
      </c>
      <c r="G4" s="24"/>
      <c r="H4" s="24"/>
      <c r="I4" s="24"/>
      <c r="J4" s="73"/>
      <c r="K4" s="66"/>
      <c r="N4" s="26"/>
    </row>
    <row r="5" spans="1:14" s="25" customFormat="1" thickTop="1" thickBot="1" x14ac:dyDescent="0.25">
      <c r="A5" s="266">
        <v>1</v>
      </c>
      <c r="B5" s="264">
        <v>2</v>
      </c>
      <c r="C5" s="264">
        <v>3</v>
      </c>
      <c r="D5" s="264">
        <v>4</v>
      </c>
      <c r="E5" s="264">
        <v>5</v>
      </c>
      <c r="F5" s="272" t="s">
        <v>96</v>
      </c>
      <c r="G5" s="24"/>
      <c r="H5" s="24"/>
      <c r="I5" s="24"/>
      <c r="J5" s="73"/>
      <c r="K5" s="66"/>
      <c r="N5" s="26"/>
    </row>
    <row r="6" spans="1:14" s="19" customFormat="1" ht="15.75" thickTop="1" x14ac:dyDescent="0.25">
      <c r="A6" s="460" t="s">
        <v>13</v>
      </c>
      <c r="B6" s="113">
        <v>1</v>
      </c>
      <c r="C6" s="86">
        <f>SUM(C7:C9)</f>
        <v>40612</v>
      </c>
      <c r="D6" s="86">
        <f t="shared" ref="D6:E6" si="0">SUM(D7:D9)</f>
        <v>40663</v>
      </c>
      <c r="E6" s="86">
        <f t="shared" si="0"/>
        <v>12168</v>
      </c>
      <c r="F6" s="334">
        <f t="shared" ref="F6:F35" si="1">(E6/D6)*100</f>
        <v>29.924009541843937</v>
      </c>
      <c r="G6" s="27"/>
      <c r="H6" s="27"/>
      <c r="I6" s="27"/>
      <c r="J6" s="193"/>
      <c r="K6" s="67"/>
      <c r="N6" s="250"/>
    </row>
    <row r="7" spans="1:14" s="32" customFormat="1" x14ac:dyDescent="0.2">
      <c r="A7" s="28" t="s">
        <v>108</v>
      </c>
      <c r="B7" s="306"/>
      <c r="C7" s="30">
        <f>40612-C9</f>
        <v>40045</v>
      </c>
      <c r="D7" s="30">
        <f>40663-D9</f>
        <v>40096</v>
      </c>
      <c r="E7" s="30">
        <f>12168-E9</f>
        <v>11926</v>
      </c>
      <c r="F7" s="335">
        <f t="shared" si="1"/>
        <v>29.743615323224258</v>
      </c>
      <c r="G7" s="31"/>
      <c r="H7" s="31"/>
      <c r="I7" s="31"/>
      <c r="J7" s="193"/>
      <c r="K7" s="55"/>
      <c r="N7" s="33"/>
    </row>
    <row r="8" spans="1:14" s="32" customFormat="1" x14ac:dyDescent="0.2">
      <c r="A8" s="28" t="s">
        <v>106</v>
      </c>
      <c r="B8" s="459"/>
      <c r="C8" s="30">
        <v>0</v>
      </c>
      <c r="D8" s="30">
        <v>0</v>
      </c>
      <c r="E8" s="30">
        <v>0</v>
      </c>
      <c r="F8" s="335">
        <v>0</v>
      </c>
      <c r="G8" s="31"/>
      <c r="H8" s="31"/>
      <c r="I8" s="31"/>
      <c r="J8" s="193"/>
      <c r="K8" s="55"/>
      <c r="N8" s="33"/>
    </row>
    <row r="9" spans="1:14" s="32" customFormat="1" x14ac:dyDescent="0.2">
      <c r="A9" s="454" t="s">
        <v>107</v>
      </c>
      <c r="B9" s="308"/>
      <c r="C9" s="336">
        <v>567</v>
      </c>
      <c r="D9" s="336">
        <v>567</v>
      </c>
      <c r="E9" s="336">
        <v>242</v>
      </c>
      <c r="F9" s="302">
        <f t="shared" si="1"/>
        <v>42.680776014109348</v>
      </c>
      <c r="G9" s="31"/>
      <c r="H9" s="31"/>
      <c r="I9" s="31"/>
      <c r="J9" s="31"/>
      <c r="K9" s="55"/>
      <c r="N9" s="33"/>
    </row>
    <row r="10" spans="1:14" s="35" customFormat="1" ht="15" x14ac:dyDescent="0.25">
      <c r="A10" s="309" t="s">
        <v>151</v>
      </c>
      <c r="B10" s="461">
        <v>2</v>
      </c>
      <c r="C10" s="333">
        <f>SUM(C11:C13)</f>
        <v>383333</v>
      </c>
      <c r="D10" s="333">
        <f>SUM(D11:D13)</f>
        <v>396922</v>
      </c>
      <c r="E10" s="333">
        <f>SUM(E11:E13)</f>
        <v>149819</v>
      </c>
      <c r="F10" s="334">
        <f t="shared" ref="F10:F11" si="2">(E10/D10)*100</f>
        <v>37.745199308680291</v>
      </c>
      <c r="G10" s="251"/>
      <c r="H10" s="27"/>
      <c r="I10" s="27"/>
      <c r="J10" s="27"/>
      <c r="K10" s="67"/>
      <c r="N10" s="36"/>
    </row>
    <row r="11" spans="1:14" s="35" customFormat="1" x14ac:dyDescent="0.2">
      <c r="A11" s="28" t="s">
        <v>108</v>
      </c>
      <c r="B11" s="37"/>
      <c r="C11" s="30">
        <f>383333-C13</f>
        <v>372585</v>
      </c>
      <c r="D11" s="30">
        <f>396922-D13</f>
        <v>385934</v>
      </c>
      <c r="E11" s="30">
        <f>149819-E13</f>
        <v>144719</v>
      </c>
      <c r="F11" s="335">
        <f t="shared" si="2"/>
        <v>37.49838055211513</v>
      </c>
      <c r="G11" s="31"/>
      <c r="H11" s="31"/>
      <c r="I11" s="31"/>
      <c r="J11" s="31"/>
      <c r="K11" s="55"/>
      <c r="N11" s="36"/>
    </row>
    <row r="12" spans="1:14" s="35" customFormat="1" x14ac:dyDescent="0.2">
      <c r="A12" s="28" t="s">
        <v>106</v>
      </c>
      <c r="B12" s="37"/>
      <c r="C12" s="30">
        <v>0</v>
      </c>
      <c r="D12" s="30">
        <v>0</v>
      </c>
      <c r="E12" s="30">
        <v>0</v>
      </c>
      <c r="F12" s="335">
        <v>0</v>
      </c>
      <c r="G12" s="31"/>
      <c r="H12" s="31"/>
      <c r="I12" s="31"/>
      <c r="J12" s="31"/>
      <c r="K12" s="55"/>
      <c r="N12" s="36"/>
    </row>
    <row r="13" spans="1:14" s="32" customFormat="1" x14ac:dyDescent="0.2">
      <c r="A13" s="454" t="s">
        <v>107</v>
      </c>
      <c r="B13" s="306"/>
      <c r="C13" s="30">
        <v>10748</v>
      </c>
      <c r="D13" s="30">
        <v>10988</v>
      </c>
      <c r="E13" s="30">
        <v>5100</v>
      </c>
      <c r="F13" s="302">
        <f t="shared" ref="F13" si="3">(E13/D13)*100</f>
        <v>46.414270112850382</v>
      </c>
      <c r="G13" s="31"/>
      <c r="H13" s="31"/>
      <c r="I13" s="31"/>
      <c r="J13" s="31"/>
      <c r="K13" s="55"/>
      <c r="N13" s="33"/>
    </row>
    <row r="14" spans="1:14" s="35" customFormat="1" ht="15" x14ac:dyDescent="0.25">
      <c r="A14" s="309" t="s">
        <v>85</v>
      </c>
      <c r="B14" s="461">
        <v>3</v>
      </c>
      <c r="C14" s="333">
        <f>SUM(C15:C16)</f>
        <v>97519</v>
      </c>
      <c r="D14" s="333">
        <f>SUM(D15:D16)</f>
        <v>99100</v>
      </c>
      <c r="E14" s="333">
        <f>SUM(E15:E16)</f>
        <v>40213</v>
      </c>
      <c r="F14" s="334">
        <f t="shared" si="1"/>
        <v>40.578203834510596</v>
      </c>
      <c r="G14" s="251"/>
      <c r="H14" s="27"/>
      <c r="I14" s="27"/>
      <c r="J14" s="27"/>
      <c r="K14" s="67"/>
      <c r="N14" s="36"/>
    </row>
    <row r="15" spans="1:14" s="35" customFormat="1" x14ac:dyDescent="0.2">
      <c r="A15" s="28" t="s">
        <v>108</v>
      </c>
      <c r="B15" s="37"/>
      <c r="C15" s="30">
        <v>96219</v>
      </c>
      <c r="D15" s="30">
        <v>96633</v>
      </c>
      <c r="E15" s="30">
        <v>38913</v>
      </c>
      <c r="F15" s="335">
        <f t="shared" si="1"/>
        <v>40.268852255440692</v>
      </c>
      <c r="G15" s="31"/>
      <c r="H15" s="31"/>
      <c r="I15" s="31"/>
      <c r="J15" s="31"/>
      <c r="K15" s="55"/>
      <c r="N15" s="36"/>
    </row>
    <row r="16" spans="1:14" s="35" customFormat="1" x14ac:dyDescent="0.2">
      <c r="A16" s="28" t="s">
        <v>106</v>
      </c>
      <c r="B16" s="37"/>
      <c r="C16" s="30">
        <v>1300</v>
      </c>
      <c r="D16" s="30">
        <v>2467</v>
      </c>
      <c r="E16" s="30">
        <v>1300</v>
      </c>
      <c r="F16" s="302">
        <f>(E16/D16)*100</f>
        <v>52.695581678151605</v>
      </c>
      <c r="G16" s="31"/>
      <c r="H16" s="31"/>
      <c r="I16" s="31"/>
      <c r="J16" s="31"/>
      <c r="K16" s="55"/>
      <c r="N16" s="36"/>
    </row>
    <row r="17" spans="1:14" s="35" customFormat="1" ht="16.5" customHeight="1" x14ac:dyDescent="0.25">
      <c r="A17" s="315" t="s">
        <v>86</v>
      </c>
      <c r="B17" s="461">
        <v>4</v>
      </c>
      <c r="C17" s="333">
        <f>SUM(C18:C19)</f>
        <v>43560</v>
      </c>
      <c r="D17" s="333">
        <f t="shared" ref="D17:E17" si="4">SUM(D18:D19)</f>
        <v>43560</v>
      </c>
      <c r="E17" s="333">
        <f t="shared" si="4"/>
        <v>19805</v>
      </c>
      <c r="F17" s="334">
        <f t="shared" si="1"/>
        <v>45.466023875114786</v>
      </c>
      <c r="G17" s="251"/>
      <c r="H17" s="27"/>
      <c r="I17" s="27"/>
      <c r="J17" s="27"/>
      <c r="K17" s="67"/>
      <c r="N17" s="36"/>
    </row>
    <row r="18" spans="1:14" s="35" customFormat="1" x14ac:dyDescent="0.2">
      <c r="A18" s="28" t="s">
        <v>108</v>
      </c>
      <c r="B18" s="37"/>
      <c r="C18" s="30">
        <v>41395</v>
      </c>
      <c r="D18" s="30">
        <v>41395</v>
      </c>
      <c r="E18" s="30">
        <v>19358</v>
      </c>
      <c r="F18" s="335">
        <f t="shared" si="1"/>
        <v>46.764101944679311</v>
      </c>
      <c r="G18" s="31"/>
      <c r="H18" s="31"/>
      <c r="I18" s="31"/>
      <c r="J18" s="31"/>
      <c r="K18" s="55"/>
      <c r="N18" s="36"/>
    </row>
    <row r="19" spans="1:14" s="35" customFormat="1" x14ac:dyDescent="0.2">
      <c r="A19" s="28" t="s">
        <v>106</v>
      </c>
      <c r="B19" s="37"/>
      <c r="C19" s="30">
        <v>2165</v>
      </c>
      <c r="D19" s="30">
        <v>2165</v>
      </c>
      <c r="E19" s="30">
        <v>447</v>
      </c>
      <c r="F19" s="302">
        <f t="shared" si="1"/>
        <v>20.646651270207851</v>
      </c>
      <c r="G19" s="31"/>
      <c r="H19" s="31"/>
      <c r="I19" s="31"/>
      <c r="J19" s="31"/>
      <c r="K19" s="55"/>
      <c r="N19" s="36"/>
    </row>
    <row r="20" spans="1:14" s="35" customFormat="1" ht="15" x14ac:dyDescent="0.25">
      <c r="A20" s="309" t="s">
        <v>118</v>
      </c>
      <c r="B20" s="461">
        <v>6</v>
      </c>
      <c r="C20" s="333">
        <f>SUM(C21:C22)</f>
        <v>43762</v>
      </c>
      <c r="D20" s="333">
        <f>SUM(D21:D22)</f>
        <v>44566</v>
      </c>
      <c r="E20" s="333">
        <f>SUM(E21:E22)</f>
        <v>13694</v>
      </c>
      <c r="F20" s="334">
        <f t="shared" ref="F20" si="5">(E20/D20)*100</f>
        <v>30.727460395817442</v>
      </c>
      <c r="G20" s="31"/>
      <c r="H20" s="31"/>
      <c r="I20" s="31"/>
      <c r="J20" s="31"/>
      <c r="K20" s="55"/>
      <c r="N20" s="36"/>
    </row>
    <row r="21" spans="1:14" s="35" customFormat="1" x14ac:dyDescent="0.2">
      <c r="A21" s="28" t="s">
        <v>108</v>
      </c>
      <c r="B21" s="37"/>
      <c r="C21" s="30">
        <v>35220</v>
      </c>
      <c r="D21" s="30">
        <v>36024</v>
      </c>
      <c r="E21" s="30">
        <v>13625</v>
      </c>
      <c r="F21" s="335">
        <f>(E21/D21)*100</f>
        <v>37.822007550521874</v>
      </c>
      <c r="G21" s="31"/>
      <c r="H21" s="31"/>
      <c r="I21" s="31"/>
      <c r="J21" s="31"/>
      <c r="K21" s="55"/>
      <c r="N21" s="36"/>
    </row>
    <row r="22" spans="1:14" s="35" customFormat="1" x14ac:dyDescent="0.2">
      <c r="A22" s="28" t="s">
        <v>106</v>
      </c>
      <c r="B22" s="37"/>
      <c r="C22" s="30">
        <v>8542</v>
      </c>
      <c r="D22" s="30">
        <v>8542</v>
      </c>
      <c r="E22" s="30">
        <v>69</v>
      </c>
      <c r="F22" s="302">
        <f t="shared" ref="F22" si="6">(E22/D22)*100</f>
        <v>0.80777335518613902</v>
      </c>
      <c r="G22" s="31"/>
      <c r="H22" s="31"/>
      <c r="I22" s="31"/>
      <c r="J22" s="31"/>
      <c r="K22" s="55"/>
      <c r="N22" s="36"/>
    </row>
    <row r="23" spans="1:14" s="35" customFormat="1" ht="15" x14ac:dyDescent="0.25">
      <c r="A23" s="309" t="s">
        <v>19</v>
      </c>
      <c r="B23" s="461">
        <v>7</v>
      </c>
      <c r="C23" s="333">
        <f>SUM(C24:C27)</f>
        <v>356745</v>
      </c>
      <c r="D23" s="333">
        <f>SUM(D24:D27)</f>
        <v>344489</v>
      </c>
      <c r="E23" s="333">
        <f t="shared" ref="E23" si="7">SUM(E24:E27)</f>
        <v>10475846</v>
      </c>
      <c r="F23" s="334">
        <f t="shared" si="1"/>
        <v>3040.9812795183589</v>
      </c>
      <c r="G23" s="27"/>
      <c r="H23" s="27"/>
      <c r="I23" s="27"/>
      <c r="J23" s="27"/>
      <c r="K23" s="67"/>
      <c r="N23" s="36"/>
    </row>
    <row r="24" spans="1:14" s="35" customFormat="1" x14ac:dyDescent="0.2">
      <c r="A24" s="28" t="s">
        <v>108</v>
      </c>
      <c r="B24" s="37"/>
      <c r="C24" s="30">
        <f>356745-C27-C26</f>
        <v>261630</v>
      </c>
      <c r="D24" s="30">
        <f>344489-D27-D26</f>
        <v>343685</v>
      </c>
      <c r="E24" s="30">
        <f>10475846-E27-E26</f>
        <v>86035</v>
      </c>
      <c r="F24" s="335">
        <f>(E24/D24)*100</f>
        <v>25.033097167464391</v>
      </c>
      <c r="G24" s="88"/>
      <c r="H24" s="31"/>
      <c r="I24" s="31"/>
      <c r="J24" s="31"/>
      <c r="K24" s="55"/>
      <c r="N24" s="36"/>
    </row>
    <row r="25" spans="1:14" s="35" customFormat="1" x14ac:dyDescent="0.2">
      <c r="A25" s="28" t="s">
        <v>106</v>
      </c>
      <c r="B25" s="37"/>
      <c r="C25" s="30">
        <v>0</v>
      </c>
      <c r="D25" s="30">
        <v>0</v>
      </c>
      <c r="E25" s="30">
        <v>0</v>
      </c>
      <c r="F25" s="335">
        <v>0</v>
      </c>
      <c r="G25" s="31"/>
      <c r="H25" s="31"/>
      <c r="I25" s="31"/>
      <c r="J25" s="31"/>
      <c r="K25" s="55"/>
      <c r="N25" s="36"/>
    </row>
    <row r="26" spans="1:14" s="32" customFormat="1" x14ac:dyDescent="0.2">
      <c r="A26" s="457" t="s">
        <v>109</v>
      </c>
      <c r="B26" s="306"/>
      <c r="C26" s="30">
        <v>95115</v>
      </c>
      <c r="D26" s="30">
        <v>804</v>
      </c>
      <c r="E26" s="30">
        <v>0</v>
      </c>
      <c r="F26" s="335">
        <v>0</v>
      </c>
      <c r="G26" s="31"/>
      <c r="H26" s="31"/>
      <c r="I26" s="31"/>
      <c r="J26" s="31"/>
      <c r="K26" s="55"/>
      <c r="N26" s="33"/>
    </row>
    <row r="27" spans="1:14" s="32" customFormat="1" x14ac:dyDescent="0.2">
      <c r="A27" s="454" t="s">
        <v>107</v>
      </c>
      <c r="B27" s="308"/>
      <c r="C27" s="336">
        <v>0</v>
      </c>
      <c r="D27" s="336">
        <v>0</v>
      </c>
      <c r="E27" s="336">
        <v>10389811</v>
      </c>
      <c r="F27" s="302">
        <v>0</v>
      </c>
      <c r="G27" s="31"/>
      <c r="H27" s="31"/>
      <c r="I27" s="31"/>
      <c r="J27" s="31"/>
      <c r="K27" s="55"/>
      <c r="N27" s="33"/>
    </row>
    <row r="28" spans="1:14" s="35" customFormat="1" ht="15" x14ac:dyDescent="0.25">
      <c r="A28" s="453" t="s">
        <v>87</v>
      </c>
      <c r="B28" s="37">
        <v>8</v>
      </c>
      <c r="C28" s="337">
        <f>SUM(C29:C31)</f>
        <v>73096</v>
      </c>
      <c r="D28" s="337">
        <f t="shared" ref="D28" si="8">SUM(D29:D31)</f>
        <v>70368</v>
      </c>
      <c r="E28" s="337">
        <f>SUM(E29:E31)</f>
        <v>20998</v>
      </c>
      <c r="F28" s="334">
        <f>(E28/D28)*100</f>
        <v>29.840268303774444</v>
      </c>
      <c r="G28" s="27"/>
      <c r="H28" s="27"/>
      <c r="I28" s="27"/>
      <c r="J28" s="27"/>
      <c r="K28" s="67"/>
      <c r="N28" s="36"/>
    </row>
    <row r="29" spans="1:14" s="35" customFormat="1" x14ac:dyDescent="0.2">
      <c r="A29" s="28" t="s">
        <v>108</v>
      </c>
      <c r="B29" s="37"/>
      <c r="C29" s="30">
        <f>73096-C31-C30</f>
        <v>33446</v>
      </c>
      <c r="D29" s="30">
        <f>70368-D31-D30</f>
        <v>27723</v>
      </c>
      <c r="E29" s="30">
        <f>20998-E31-E30</f>
        <v>9205</v>
      </c>
      <c r="F29" s="335">
        <f t="shared" si="1"/>
        <v>33.203477257151107</v>
      </c>
      <c r="G29" s="31"/>
      <c r="H29" s="31"/>
      <c r="I29" s="31"/>
      <c r="J29" s="31"/>
      <c r="K29" s="55"/>
      <c r="N29" s="36"/>
    </row>
    <row r="30" spans="1:14" s="35" customFormat="1" x14ac:dyDescent="0.2">
      <c r="A30" s="28" t="s">
        <v>106</v>
      </c>
      <c r="B30" s="37"/>
      <c r="C30" s="30">
        <v>0</v>
      </c>
      <c r="D30" s="30">
        <v>0</v>
      </c>
      <c r="E30" s="30">
        <v>0</v>
      </c>
      <c r="F30" s="335">
        <v>0</v>
      </c>
      <c r="G30" s="31"/>
      <c r="H30" s="31"/>
      <c r="I30" s="31"/>
      <c r="J30" s="31"/>
      <c r="K30" s="55"/>
      <c r="N30" s="36"/>
    </row>
    <row r="31" spans="1:14" s="32" customFormat="1" x14ac:dyDescent="0.2">
      <c r="A31" s="454" t="s">
        <v>109</v>
      </c>
      <c r="B31" s="308"/>
      <c r="C31" s="336">
        <v>39650</v>
      </c>
      <c r="D31" s="336">
        <v>42645</v>
      </c>
      <c r="E31" s="336">
        <v>11793</v>
      </c>
      <c r="F31" s="302">
        <f t="shared" si="1"/>
        <v>27.65388673935983</v>
      </c>
      <c r="G31" s="31"/>
      <c r="H31" s="31"/>
      <c r="I31" s="31"/>
      <c r="J31" s="193"/>
      <c r="K31" s="55"/>
      <c r="N31" s="33"/>
    </row>
    <row r="32" spans="1:14" ht="15" customHeight="1" x14ac:dyDescent="0.25">
      <c r="A32" s="453" t="s">
        <v>20</v>
      </c>
      <c r="B32" s="37">
        <v>9</v>
      </c>
      <c r="C32" s="337">
        <f>SUM(C33:C35)</f>
        <v>20183</v>
      </c>
      <c r="D32" s="337">
        <f t="shared" ref="D32" si="9">SUM(D33:D35)</f>
        <v>29476</v>
      </c>
      <c r="E32" s="337">
        <f>SUM(E33:E35)</f>
        <v>10020</v>
      </c>
      <c r="F32" s="334">
        <f t="shared" si="1"/>
        <v>33.993757633328805</v>
      </c>
      <c r="G32" s="251"/>
      <c r="H32" s="27"/>
      <c r="I32" s="27"/>
      <c r="J32" s="193"/>
      <c r="K32" s="67"/>
    </row>
    <row r="33" spans="1:15" ht="15" customHeight="1" x14ac:dyDescent="0.2">
      <c r="A33" s="28" t="s">
        <v>108</v>
      </c>
      <c r="B33" s="37"/>
      <c r="C33" s="462">
        <f>20183-C35</f>
        <v>6195</v>
      </c>
      <c r="D33" s="462">
        <f>29476-D35</f>
        <v>6445</v>
      </c>
      <c r="E33" s="462">
        <f>10020-E35</f>
        <v>615</v>
      </c>
      <c r="F33" s="335">
        <f>(E33/D33)*100</f>
        <v>9.5422808378588044</v>
      </c>
      <c r="G33" s="31"/>
      <c r="H33" s="31"/>
      <c r="I33" s="31"/>
      <c r="J33" s="193"/>
      <c r="K33" s="55"/>
    </row>
    <row r="34" spans="1:15" ht="15" customHeight="1" x14ac:dyDescent="0.2">
      <c r="A34" s="28" t="s">
        <v>106</v>
      </c>
      <c r="B34" s="37"/>
      <c r="C34" s="30">
        <v>0</v>
      </c>
      <c r="D34" s="462">
        <v>0</v>
      </c>
      <c r="E34" s="30">
        <v>0</v>
      </c>
      <c r="F34" s="335">
        <v>0</v>
      </c>
      <c r="G34" s="31"/>
      <c r="H34" s="31"/>
      <c r="I34" s="88"/>
      <c r="J34" s="88"/>
      <c r="K34" s="55"/>
    </row>
    <row r="35" spans="1:15" s="32" customFormat="1" x14ac:dyDescent="0.2">
      <c r="A35" s="454" t="s">
        <v>109</v>
      </c>
      <c r="B35" s="308"/>
      <c r="C35" s="336">
        <v>13988</v>
      </c>
      <c r="D35" s="463">
        <v>23031</v>
      </c>
      <c r="E35" s="463">
        <v>9405</v>
      </c>
      <c r="F35" s="335">
        <f t="shared" si="1"/>
        <v>40.83626416568972</v>
      </c>
      <c r="G35" s="31"/>
      <c r="H35" s="252"/>
      <c r="I35" s="252"/>
      <c r="J35" s="252"/>
      <c r="K35" s="55"/>
      <c r="N35" s="33"/>
    </row>
    <row r="36" spans="1:15" s="48" customFormat="1" ht="15" x14ac:dyDescent="0.25">
      <c r="A36" s="315" t="s">
        <v>98</v>
      </c>
      <c r="B36" s="316">
        <v>10</v>
      </c>
      <c r="C36" s="333">
        <f>C37+C41+C44</f>
        <v>403413</v>
      </c>
      <c r="D36" s="333">
        <f>D37+D41+D44</f>
        <v>11552172</v>
      </c>
      <c r="E36" s="333">
        <f>E37+E41+E44</f>
        <v>5908028</v>
      </c>
      <c r="F36" s="341">
        <f t="shared" ref="F36:F62" si="10">(E36/D36)*100</f>
        <v>51.142140196666041</v>
      </c>
      <c r="G36" s="27"/>
      <c r="H36" s="67"/>
      <c r="I36" s="67"/>
      <c r="J36" s="193"/>
      <c r="K36" s="67"/>
      <c r="N36" s="253"/>
    </row>
    <row r="37" spans="1:15" s="48" customFormat="1" x14ac:dyDescent="0.2">
      <c r="A37" s="305" t="s">
        <v>21</v>
      </c>
      <c r="B37" s="304"/>
      <c r="C37" s="338">
        <f>C38+C39+C40</f>
        <v>29964</v>
      </c>
      <c r="D37" s="338">
        <f>D38+D39+D40</f>
        <v>33947</v>
      </c>
      <c r="E37" s="338">
        <f>E38+E39+E40</f>
        <v>26845</v>
      </c>
      <c r="F37" s="335">
        <f t="shared" si="10"/>
        <v>79.079152797007097</v>
      </c>
      <c r="G37" s="31"/>
      <c r="H37" s="31"/>
      <c r="I37" s="31"/>
      <c r="J37" s="69"/>
      <c r="K37" s="254"/>
      <c r="L37" s="76"/>
      <c r="M37" s="76"/>
      <c r="N37" s="69"/>
      <c r="O37" s="76"/>
    </row>
    <row r="38" spans="1:15" s="48" customFormat="1" x14ac:dyDescent="0.2">
      <c r="A38" s="28" t="s">
        <v>108</v>
      </c>
      <c r="B38" s="464"/>
      <c r="C38" s="30">
        <v>9764</v>
      </c>
      <c r="D38" s="30">
        <v>13579</v>
      </c>
      <c r="E38" s="30">
        <v>7198</v>
      </c>
      <c r="F38" s="335">
        <f t="shared" si="10"/>
        <v>53.008321673171807</v>
      </c>
      <c r="G38" s="31"/>
      <c r="H38" s="31"/>
      <c r="I38" s="31"/>
      <c r="J38" s="69"/>
      <c r="K38" s="55"/>
      <c r="L38" s="41"/>
      <c r="M38" s="76"/>
      <c r="N38" s="69"/>
      <c r="O38" s="76"/>
    </row>
    <row r="39" spans="1:15" s="48" customFormat="1" x14ac:dyDescent="0.2">
      <c r="A39" s="28" t="s">
        <v>106</v>
      </c>
      <c r="B39" s="465"/>
      <c r="C39" s="30">
        <v>0</v>
      </c>
      <c r="D39" s="30">
        <v>0</v>
      </c>
      <c r="E39" s="30">
        <v>0</v>
      </c>
      <c r="F39" s="335">
        <v>0</v>
      </c>
      <c r="G39" s="31"/>
      <c r="H39" s="31"/>
      <c r="I39" s="31"/>
      <c r="J39" s="69"/>
      <c r="K39" s="55"/>
      <c r="L39" s="255"/>
      <c r="M39" s="76"/>
      <c r="N39" s="69"/>
      <c r="O39" s="76"/>
    </row>
    <row r="40" spans="1:15" s="48" customFormat="1" x14ac:dyDescent="0.2">
      <c r="A40" s="457" t="s">
        <v>109</v>
      </c>
      <c r="B40" s="465"/>
      <c r="C40" s="30">
        <v>20200</v>
      </c>
      <c r="D40" s="30">
        <v>20368</v>
      </c>
      <c r="E40" s="30">
        <v>19647</v>
      </c>
      <c r="F40" s="335">
        <f>(E40/D40)*100</f>
        <v>96.460133542812258</v>
      </c>
      <c r="G40" s="31"/>
      <c r="H40" s="31"/>
      <c r="I40" s="31"/>
      <c r="J40" s="69"/>
      <c r="K40" s="55"/>
      <c r="L40" s="255"/>
      <c r="M40" s="76"/>
      <c r="N40" s="69"/>
      <c r="O40" s="76"/>
    </row>
    <row r="41" spans="1:15" s="48" customFormat="1" x14ac:dyDescent="0.2">
      <c r="A41" s="51" t="s">
        <v>22</v>
      </c>
      <c r="B41" s="465"/>
      <c r="C41" s="338">
        <f>C42+C43</f>
        <v>373449</v>
      </c>
      <c r="D41" s="338">
        <f>D42+D43</f>
        <v>4040471</v>
      </c>
      <c r="E41" s="338">
        <f>E42+E43</f>
        <v>2012577</v>
      </c>
      <c r="F41" s="335">
        <f t="shared" si="10"/>
        <v>49.8104552662301</v>
      </c>
      <c r="G41" s="31"/>
      <c r="H41" s="31"/>
      <c r="I41" s="31"/>
      <c r="J41" s="193"/>
      <c r="K41" s="254"/>
      <c r="L41" s="76"/>
      <c r="M41" s="76"/>
      <c r="N41" s="69"/>
      <c r="O41" s="76"/>
    </row>
    <row r="42" spans="1:15" s="48" customFormat="1" x14ac:dyDescent="0.2">
      <c r="A42" s="28" t="s">
        <v>108</v>
      </c>
      <c r="B42" s="465"/>
      <c r="C42" s="30">
        <f>373761-2400</f>
        <v>371361</v>
      </c>
      <c r="D42" s="30">
        <f>4031930-588-63</f>
        <v>4031279</v>
      </c>
      <c r="E42" s="30">
        <f>2010377-524-63</f>
        <v>2009790</v>
      </c>
      <c r="F42" s="335">
        <f t="shared" si="10"/>
        <v>49.854897167871535</v>
      </c>
      <c r="G42" s="256"/>
      <c r="H42" s="256"/>
      <c r="I42" s="31"/>
      <c r="J42" s="193"/>
      <c r="K42" s="55"/>
      <c r="L42" s="76"/>
      <c r="M42" s="76"/>
      <c r="N42" s="69"/>
      <c r="O42" s="76"/>
    </row>
    <row r="43" spans="1:15" s="48" customFormat="1" x14ac:dyDescent="0.2">
      <c r="A43" s="28" t="s">
        <v>106</v>
      </c>
      <c r="B43" s="465"/>
      <c r="C43" s="30">
        <v>2088</v>
      </c>
      <c r="D43" s="30">
        <v>9192</v>
      </c>
      <c r="E43" s="30">
        <v>2787</v>
      </c>
      <c r="F43" s="335">
        <v>0</v>
      </c>
      <c r="G43" s="31"/>
      <c r="H43" s="31"/>
      <c r="I43" s="31"/>
      <c r="J43" s="193"/>
      <c r="K43" s="55"/>
      <c r="L43" s="76"/>
      <c r="M43" s="76"/>
      <c r="N43" s="69"/>
      <c r="O43" s="76"/>
    </row>
    <row r="44" spans="1:15" s="48" customFormat="1" x14ac:dyDescent="0.2">
      <c r="A44" s="466" t="s">
        <v>117</v>
      </c>
      <c r="B44" s="465"/>
      <c r="C44" s="467">
        <f>C45+C46</f>
        <v>0</v>
      </c>
      <c r="D44" s="467">
        <f t="shared" ref="D44:E44" si="11">D45+D46</f>
        <v>7477754</v>
      </c>
      <c r="E44" s="467">
        <f t="shared" si="11"/>
        <v>3868606</v>
      </c>
      <c r="F44" s="468">
        <f t="shared" si="10"/>
        <v>51.734865843406993</v>
      </c>
      <c r="G44" s="31"/>
      <c r="H44" s="31"/>
      <c r="I44" s="31"/>
      <c r="J44" s="69"/>
      <c r="K44" s="254"/>
      <c r="L44" s="76"/>
      <c r="M44" s="76"/>
      <c r="N44" s="69"/>
      <c r="O44" s="76"/>
    </row>
    <row r="45" spans="1:15" s="48" customFormat="1" x14ac:dyDescent="0.2">
      <c r="A45" s="28" t="s">
        <v>108</v>
      </c>
      <c r="B45" s="465"/>
      <c r="C45" s="30">
        <f>0+0</f>
        <v>0</v>
      </c>
      <c r="D45" s="30">
        <v>7477754</v>
      </c>
      <c r="E45" s="30">
        <v>3868606</v>
      </c>
      <c r="F45" s="335">
        <f t="shared" si="10"/>
        <v>51.734865843406993</v>
      </c>
      <c r="G45" s="31"/>
      <c r="H45" s="31"/>
      <c r="I45" s="31"/>
      <c r="J45" s="31"/>
      <c r="K45" s="55"/>
      <c r="L45" s="76"/>
      <c r="M45" s="69"/>
      <c r="N45" s="69"/>
      <c r="O45" s="76"/>
    </row>
    <row r="46" spans="1:15" s="48" customFormat="1" x14ac:dyDescent="0.2">
      <c r="A46" s="307" t="s">
        <v>106</v>
      </c>
      <c r="B46" s="469"/>
      <c r="C46" s="336">
        <v>0</v>
      </c>
      <c r="D46" s="336">
        <v>0</v>
      </c>
      <c r="E46" s="336">
        <v>0</v>
      </c>
      <c r="F46" s="302">
        <v>0</v>
      </c>
      <c r="G46" s="31"/>
      <c r="H46" s="31"/>
      <c r="I46" s="166"/>
      <c r="J46" s="69"/>
      <c r="K46" s="55"/>
      <c r="L46" s="76"/>
      <c r="M46" s="69"/>
      <c r="N46" s="69"/>
      <c r="O46" s="76"/>
    </row>
    <row r="47" spans="1:15" ht="15" x14ac:dyDescent="0.25">
      <c r="A47" s="303" t="s">
        <v>23</v>
      </c>
      <c r="B47" s="304">
        <v>11</v>
      </c>
      <c r="C47" s="337">
        <f>C48+C52</f>
        <v>449527</v>
      </c>
      <c r="D47" s="337">
        <f>D48+D52</f>
        <v>2006409</v>
      </c>
      <c r="E47" s="337">
        <f>E48+E52</f>
        <v>1818279</v>
      </c>
      <c r="F47" s="334">
        <f t="shared" si="10"/>
        <v>90.623546844137962</v>
      </c>
      <c r="G47" s="251"/>
      <c r="H47" s="67"/>
      <c r="I47" s="67"/>
      <c r="J47" s="193"/>
      <c r="K47" s="67"/>
      <c r="L47" s="78"/>
      <c r="M47" s="78"/>
      <c r="N47" s="79"/>
      <c r="O47" s="78"/>
    </row>
    <row r="48" spans="1:15" s="32" customFormat="1" x14ac:dyDescent="0.2">
      <c r="A48" s="305" t="s">
        <v>21</v>
      </c>
      <c r="B48" s="306"/>
      <c r="C48" s="338">
        <f>C49+C50+C51</f>
        <v>68349</v>
      </c>
      <c r="D48" s="338">
        <f t="shared" ref="D48:E48" si="12">D49+D50+D51</f>
        <v>882844</v>
      </c>
      <c r="E48" s="338">
        <f t="shared" si="12"/>
        <v>797244</v>
      </c>
      <c r="F48" s="335">
        <f t="shared" si="10"/>
        <v>90.304062778928099</v>
      </c>
      <c r="G48" s="257"/>
      <c r="H48" s="257"/>
      <c r="I48" s="257"/>
      <c r="J48" s="193"/>
      <c r="K48" s="254"/>
      <c r="L48" s="53"/>
      <c r="M48" s="53"/>
      <c r="N48" s="54"/>
      <c r="O48" s="53"/>
    </row>
    <row r="49" spans="1:15" s="32" customFormat="1" x14ac:dyDescent="0.2">
      <c r="A49" s="28" t="s">
        <v>108</v>
      </c>
      <c r="B49" s="306"/>
      <c r="C49" s="30">
        <v>7986</v>
      </c>
      <c r="D49" s="30">
        <v>809752</v>
      </c>
      <c r="E49" s="30">
        <v>783495</v>
      </c>
      <c r="F49" s="335">
        <f t="shared" si="10"/>
        <v>96.757402266372921</v>
      </c>
      <c r="G49" s="257"/>
      <c r="H49" s="257"/>
      <c r="I49" s="257"/>
      <c r="J49" s="193"/>
      <c r="K49" s="55"/>
      <c r="L49" s="77"/>
      <c r="M49" s="53"/>
      <c r="N49" s="54"/>
      <c r="O49" s="53"/>
    </row>
    <row r="50" spans="1:15" s="32" customFormat="1" x14ac:dyDescent="0.2">
      <c r="A50" s="28" t="s">
        <v>106</v>
      </c>
      <c r="B50" s="306"/>
      <c r="C50" s="30">
        <v>0</v>
      </c>
      <c r="D50" s="30">
        <v>160</v>
      </c>
      <c r="E50" s="30">
        <v>0</v>
      </c>
      <c r="F50" s="335">
        <v>0</v>
      </c>
      <c r="G50" s="257"/>
      <c r="H50" s="257"/>
      <c r="I50" s="257"/>
      <c r="J50" s="193"/>
      <c r="K50" s="55"/>
      <c r="L50" s="53"/>
      <c r="M50" s="53"/>
      <c r="N50" s="54"/>
      <c r="O50" s="53"/>
    </row>
    <row r="51" spans="1:15" s="32" customFormat="1" x14ac:dyDescent="0.2">
      <c r="A51" s="457" t="s">
        <v>109</v>
      </c>
      <c r="B51" s="306"/>
      <c r="C51" s="30">
        <v>60363</v>
      </c>
      <c r="D51" s="30">
        <v>72932</v>
      </c>
      <c r="E51" s="30">
        <v>13749</v>
      </c>
      <c r="F51" s="335">
        <f t="shared" si="10"/>
        <v>18.851807162836614</v>
      </c>
      <c r="G51" s="257"/>
      <c r="H51" s="257"/>
      <c r="I51" s="257"/>
      <c r="J51" s="193"/>
      <c r="K51" s="55"/>
      <c r="L51" s="53"/>
      <c r="M51" s="53"/>
      <c r="N51" s="54"/>
      <c r="O51" s="53"/>
    </row>
    <row r="52" spans="1:15" ht="17.45" customHeight="1" x14ac:dyDescent="0.2">
      <c r="A52" s="51" t="s">
        <v>22</v>
      </c>
      <c r="B52" s="304"/>
      <c r="C52" s="338">
        <f>C53+C54</f>
        <v>381178</v>
      </c>
      <c r="D52" s="338">
        <f t="shared" ref="D52:E52" si="13">D53+D54</f>
        <v>1123565</v>
      </c>
      <c r="E52" s="338">
        <f t="shared" si="13"/>
        <v>1021035</v>
      </c>
      <c r="F52" s="335">
        <f t="shared" ref="F52:F53" si="14">(E52/D52)*100</f>
        <v>90.874582244907955</v>
      </c>
      <c r="G52" s="257"/>
      <c r="H52" s="257"/>
      <c r="I52" s="257"/>
      <c r="J52" s="193"/>
      <c r="K52" s="254"/>
      <c r="L52" s="78"/>
      <c r="M52" s="78"/>
      <c r="N52" s="79"/>
      <c r="O52" s="78"/>
    </row>
    <row r="53" spans="1:15" ht="15" customHeight="1" x14ac:dyDescent="0.2">
      <c r="A53" s="28" t="s">
        <v>108</v>
      </c>
      <c r="B53" s="304"/>
      <c r="C53" s="30">
        <v>381178</v>
      </c>
      <c r="D53" s="30">
        <v>1118633</v>
      </c>
      <c r="E53" s="30">
        <v>1020584</v>
      </c>
      <c r="F53" s="335">
        <f t="shared" si="14"/>
        <v>91.234926915261752</v>
      </c>
      <c r="G53" s="31"/>
      <c r="H53" s="31"/>
      <c r="I53" s="31"/>
      <c r="J53" s="193"/>
      <c r="K53" s="55"/>
      <c r="L53" s="78"/>
      <c r="M53" s="78"/>
      <c r="N53" s="79"/>
      <c r="O53" s="78"/>
    </row>
    <row r="54" spans="1:15" ht="15" customHeight="1" x14ac:dyDescent="0.2">
      <c r="A54" s="28" t="s">
        <v>106</v>
      </c>
      <c r="B54" s="304"/>
      <c r="C54" s="30">
        <v>0</v>
      </c>
      <c r="D54" s="30">
        <v>4932</v>
      </c>
      <c r="E54" s="30">
        <v>451</v>
      </c>
      <c r="F54" s="302">
        <v>0</v>
      </c>
      <c r="G54" s="31"/>
      <c r="H54" s="31"/>
      <c r="I54" s="31"/>
      <c r="J54" s="193"/>
      <c r="K54" s="55"/>
      <c r="L54" s="78"/>
      <c r="M54" s="78"/>
      <c r="N54" s="79"/>
      <c r="O54" s="78"/>
    </row>
    <row r="55" spans="1:15" ht="15" customHeight="1" x14ac:dyDescent="0.25">
      <c r="A55" s="318" t="s">
        <v>24</v>
      </c>
      <c r="B55" s="316">
        <v>12</v>
      </c>
      <c r="C55" s="333">
        <f>C56+C60</f>
        <v>2477560</v>
      </c>
      <c r="D55" s="333">
        <f>D56+D60</f>
        <v>2920281</v>
      </c>
      <c r="E55" s="333">
        <f>E56+E60</f>
        <v>1673499</v>
      </c>
      <c r="F55" s="334">
        <f t="shared" si="10"/>
        <v>57.306094858679693</v>
      </c>
      <c r="G55" s="27"/>
      <c r="H55" s="67"/>
      <c r="I55" s="67"/>
      <c r="J55" s="193"/>
      <c r="K55" s="67"/>
      <c r="L55" s="78"/>
      <c r="M55" s="78"/>
      <c r="N55" s="79"/>
      <c r="O55" s="78"/>
    </row>
    <row r="56" spans="1:15" ht="15" customHeight="1" x14ac:dyDescent="0.2">
      <c r="A56" s="305" t="s">
        <v>21</v>
      </c>
      <c r="B56" s="304"/>
      <c r="C56" s="338">
        <f>C57+C58+C59</f>
        <v>32996</v>
      </c>
      <c r="D56" s="338">
        <f>D57+D58+D59</f>
        <v>81996</v>
      </c>
      <c r="E56" s="338">
        <f t="shared" ref="E56" si="15">E57+E58+E59</f>
        <v>18193</v>
      </c>
      <c r="F56" s="335">
        <f t="shared" si="10"/>
        <v>22.187667691106881</v>
      </c>
      <c r="G56" s="257"/>
      <c r="H56" s="257"/>
      <c r="I56" s="257"/>
      <c r="J56" s="193"/>
      <c r="K56" s="254"/>
      <c r="L56" s="78"/>
      <c r="M56" s="78"/>
      <c r="N56" s="79"/>
      <c r="O56" s="78"/>
    </row>
    <row r="57" spans="1:15" ht="15" customHeight="1" x14ac:dyDescent="0.2">
      <c r="A57" s="28" t="s">
        <v>108</v>
      </c>
      <c r="B57" s="304"/>
      <c r="C57" s="30">
        <v>12996</v>
      </c>
      <c r="D57" s="30">
        <v>12996</v>
      </c>
      <c r="E57" s="30">
        <v>5</v>
      </c>
      <c r="F57" s="335">
        <f t="shared" si="10"/>
        <v>3.8473376423514928E-2</v>
      </c>
      <c r="G57" s="31"/>
      <c r="H57" s="31"/>
      <c r="I57" s="31"/>
      <c r="J57" s="193"/>
      <c r="K57" s="55"/>
      <c r="L57" s="77"/>
      <c r="M57" s="78"/>
      <c r="N57" s="79"/>
      <c r="O57" s="78"/>
    </row>
    <row r="58" spans="1:15" ht="15" customHeight="1" x14ac:dyDescent="0.2">
      <c r="A58" s="28" t="s">
        <v>106</v>
      </c>
      <c r="B58" s="304"/>
      <c r="C58" s="30">
        <v>0</v>
      </c>
      <c r="D58" s="30">
        <v>0</v>
      </c>
      <c r="E58" s="30">
        <v>0</v>
      </c>
      <c r="F58" s="335">
        <v>0</v>
      </c>
      <c r="G58" s="31"/>
      <c r="H58" s="31"/>
      <c r="I58" s="31"/>
      <c r="J58" s="193"/>
      <c r="K58" s="55"/>
      <c r="L58" s="78"/>
      <c r="M58" s="78"/>
      <c r="N58" s="79"/>
      <c r="O58" s="78"/>
    </row>
    <row r="59" spans="1:15" ht="15" customHeight="1" x14ac:dyDescent="0.2">
      <c r="A59" s="457" t="s">
        <v>109</v>
      </c>
      <c r="B59" s="304"/>
      <c r="C59" s="30">
        <v>20000</v>
      </c>
      <c r="D59" s="30">
        <v>69000</v>
      </c>
      <c r="E59" s="30">
        <v>18188</v>
      </c>
      <c r="F59" s="335">
        <f t="shared" si="10"/>
        <v>26.359420289855073</v>
      </c>
      <c r="G59" s="31"/>
      <c r="H59" s="31"/>
      <c r="I59" s="31"/>
      <c r="J59" s="193"/>
      <c r="K59" s="55"/>
      <c r="L59" s="78"/>
      <c r="M59" s="78"/>
      <c r="N59" s="79"/>
      <c r="O59" s="78"/>
    </row>
    <row r="60" spans="1:15" ht="17.45" customHeight="1" x14ac:dyDescent="0.2">
      <c r="A60" s="51" t="s">
        <v>22</v>
      </c>
      <c r="B60" s="304"/>
      <c r="C60" s="338">
        <f>C61+C62</f>
        <v>2444564</v>
      </c>
      <c r="D60" s="338">
        <f t="shared" ref="D60:E60" si="16">D61+D62</f>
        <v>2838285</v>
      </c>
      <c r="E60" s="338">
        <f t="shared" si="16"/>
        <v>1655306</v>
      </c>
      <c r="F60" s="335">
        <f t="shared" si="10"/>
        <v>58.320640809502919</v>
      </c>
      <c r="G60" s="257"/>
      <c r="H60" s="31"/>
      <c r="I60" s="31"/>
      <c r="J60" s="31"/>
      <c r="K60" s="55"/>
      <c r="L60" s="78"/>
      <c r="M60" s="78"/>
      <c r="N60" s="79"/>
      <c r="O60" s="78"/>
    </row>
    <row r="61" spans="1:15" ht="15" customHeight="1" x14ac:dyDescent="0.2">
      <c r="A61" s="28" t="s">
        <v>108</v>
      </c>
      <c r="B61" s="304"/>
      <c r="C61" s="30">
        <v>2278864</v>
      </c>
      <c r="D61" s="30">
        <v>2305706</v>
      </c>
      <c r="E61" s="30">
        <v>1449362</v>
      </c>
      <c r="F61" s="335">
        <f>(E61/D61)*100</f>
        <v>62.859792185126807</v>
      </c>
      <c r="G61" s="31"/>
      <c r="H61" s="31"/>
      <c r="I61" s="31"/>
      <c r="J61" s="193"/>
      <c r="K61" s="55"/>
      <c r="L61" s="78"/>
      <c r="M61" s="78"/>
      <c r="N61" s="79"/>
      <c r="O61" s="78"/>
    </row>
    <row r="62" spans="1:15" ht="15" customHeight="1" thickBot="1" x14ac:dyDescent="0.25">
      <c r="A62" s="321" t="s">
        <v>106</v>
      </c>
      <c r="B62" s="322"/>
      <c r="C62" s="347">
        <v>165700</v>
      </c>
      <c r="D62" s="347">
        <v>532579</v>
      </c>
      <c r="E62" s="347">
        <v>205944</v>
      </c>
      <c r="F62" s="348">
        <f t="shared" si="10"/>
        <v>38.669192739480899</v>
      </c>
      <c r="G62" s="31"/>
      <c r="H62" s="31"/>
      <c r="I62" s="31"/>
      <c r="J62" s="193"/>
      <c r="K62" s="55"/>
      <c r="L62" s="78"/>
      <c r="M62" s="78"/>
      <c r="N62" s="79"/>
      <c r="O62" s="78"/>
    </row>
    <row r="63" spans="1:15" ht="15" customHeight="1" thickTop="1" x14ac:dyDescent="0.2">
      <c r="A63" s="53"/>
      <c r="B63" s="319"/>
      <c r="C63" s="88"/>
      <c r="D63" s="88"/>
      <c r="E63" s="88"/>
      <c r="F63" s="320"/>
      <c r="G63" s="31"/>
      <c r="H63" s="31"/>
      <c r="I63" s="31"/>
      <c r="J63" s="193"/>
      <c r="K63" s="55"/>
      <c r="L63" s="78"/>
      <c r="M63" s="78"/>
      <c r="N63" s="79"/>
      <c r="O63" s="78"/>
    </row>
    <row r="64" spans="1:15" ht="15" customHeight="1" thickBot="1" x14ac:dyDescent="0.25">
      <c r="A64" s="298"/>
      <c r="B64" s="243"/>
      <c r="C64" s="299"/>
      <c r="D64" s="299"/>
      <c r="E64" s="299"/>
      <c r="F64" s="296" t="s">
        <v>0</v>
      </c>
      <c r="G64" s="31"/>
      <c r="H64" s="31"/>
      <c r="I64" s="31"/>
      <c r="J64" s="193"/>
      <c r="K64" s="55"/>
      <c r="L64" s="78"/>
      <c r="M64" s="78"/>
      <c r="N64" s="79"/>
      <c r="O64" s="78"/>
    </row>
    <row r="65" spans="1:15" ht="15" customHeight="1" thickTop="1" thickBot="1" x14ac:dyDescent="0.25">
      <c r="A65" s="268" t="s">
        <v>9</v>
      </c>
      <c r="B65" s="269" t="s">
        <v>10</v>
      </c>
      <c r="C65" s="270" t="s">
        <v>11</v>
      </c>
      <c r="D65" s="270" t="s">
        <v>12</v>
      </c>
      <c r="E65" s="270" t="s">
        <v>4</v>
      </c>
      <c r="F65" s="271" t="s">
        <v>5</v>
      </c>
      <c r="G65" s="31"/>
      <c r="H65" s="31"/>
      <c r="I65" s="31"/>
      <c r="J65" s="193"/>
      <c r="K65" s="55"/>
      <c r="L65" s="78"/>
      <c r="M65" s="78"/>
      <c r="N65" s="79"/>
      <c r="O65" s="78"/>
    </row>
    <row r="66" spans="1:15" ht="15" customHeight="1" thickTop="1" thickBot="1" x14ac:dyDescent="0.25">
      <c r="A66" s="266">
        <v>1</v>
      </c>
      <c r="B66" s="264">
        <v>2</v>
      </c>
      <c r="C66" s="264">
        <v>3</v>
      </c>
      <c r="D66" s="264">
        <v>4</v>
      </c>
      <c r="E66" s="264">
        <v>5</v>
      </c>
      <c r="F66" s="272" t="s">
        <v>96</v>
      </c>
      <c r="G66" s="31"/>
      <c r="H66" s="31"/>
      <c r="I66" s="31"/>
      <c r="J66" s="193"/>
      <c r="K66" s="55"/>
      <c r="L66" s="78"/>
      <c r="M66" s="78"/>
      <c r="N66" s="79"/>
      <c r="O66" s="78"/>
    </row>
    <row r="67" spans="1:15" ht="15" customHeight="1" thickTop="1" x14ac:dyDescent="0.25">
      <c r="A67" s="318" t="s">
        <v>110</v>
      </c>
      <c r="B67" s="316">
        <v>13</v>
      </c>
      <c r="C67" s="333">
        <f>C68+C72</f>
        <v>404094</v>
      </c>
      <c r="D67" s="333">
        <f>D68+D72</f>
        <v>494092</v>
      </c>
      <c r="E67" s="333">
        <f>E68+E72</f>
        <v>295393</v>
      </c>
      <c r="F67" s="334">
        <f>(E67/D67)*100</f>
        <v>59.785019793884544</v>
      </c>
      <c r="G67" s="31"/>
      <c r="H67" s="31"/>
      <c r="I67" s="31"/>
      <c r="J67" s="193"/>
      <c r="K67" s="55"/>
      <c r="L67" s="78"/>
      <c r="M67" s="78"/>
      <c r="N67" s="79"/>
      <c r="O67" s="78"/>
    </row>
    <row r="68" spans="1:15" s="32" customFormat="1" x14ac:dyDescent="0.2">
      <c r="A68" s="305" t="s">
        <v>21</v>
      </c>
      <c r="B68" s="306"/>
      <c r="C68" s="338">
        <f>C69+C70+C71</f>
        <v>200567</v>
      </c>
      <c r="D68" s="338">
        <f>D69+D70+D71</f>
        <v>271943</v>
      </c>
      <c r="E68" s="338">
        <f>E69+E70+E71</f>
        <v>180437</v>
      </c>
      <c r="F68" s="335">
        <f t="shared" ref="F68:F74" si="17">(E68/D68)*100</f>
        <v>66.351036798152549</v>
      </c>
      <c r="G68" s="257"/>
      <c r="H68" s="257"/>
      <c r="I68" s="257"/>
      <c r="J68" s="193"/>
      <c r="K68" s="254"/>
      <c r="L68" s="53"/>
      <c r="M68" s="53"/>
      <c r="N68" s="54"/>
      <c r="O68" s="53"/>
    </row>
    <row r="69" spans="1:15" ht="15" customHeight="1" x14ac:dyDescent="0.2">
      <c r="A69" s="28" t="s">
        <v>108</v>
      </c>
      <c r="B69" s="304"/>
      <c r="C69" s="30">
        <v>24317</v>
      </c>
      <c r="D69" s="30">
        <f>68814-406</f>
        <v>68408</v>
      </c>
      <c r="E69" s="30">
        <f>29138-404</f>
        <v>28734</v>
      </c>
      <c r="F69" s="335">
        <f t="shared" si="17"/>
        <v>42.00385919775465</v>
      </c>
      <c r="G69" s="31"/>
      <c r="H69" s="31"/>
      <c r="I69" s="31"/>
      <c r="J69" s="193"/>
      <c r="K69" s="55"/>
      <c r="L69" s="78"/>
      <c r="M69" s="78"/>
      <c r="N69" s="79"/>
      <c r="O69" s="78"/>
    </row>
    <row r="70" spans="1:15" ht="15" customHeight="1" x14ac:dyDescent="0.2">
      <c r="A70" s="28" t="s">
        <v>106</v>
      </c>
      <c r="B70" s="304"/>
      <c r="C70" s="30">
        <v>0</v>
      </c>
      <c r="D70" s="30">
        <v>0</v>
      </c>
      <c r="E70" s="30">
        <v>0</v>
      </c>
      <c r="F70" s="335">
        <v>0</v>
      </c>
      <c r="G70" s="31"/>
      <c r="H70" s="31"/>
      <c r="I70" s="31"/>
      <c r="J70" s="193"/>
      <c r="K70" s="55"/>
      <c r="L70" s="78"/>
      <c r="M70" s="78"/>
      <c r="N70" s="79"/>
      <c r="O70" s="78"/>
    </row>
    <row r="71" spans="1:15" ht="15" customHeight="1" x14ac:dyDescent="0.2">
      <c r="A71" s="457" t="s">
        <v>109</v>
      </c>
      <c r="B71" s="304"/>
      <c r="C71" s="30">
        <v>176250</v>
      </c>
      <c r="D71" s="30">
        <v>203535</v>
      </c>
      <c r="E71" s="30">
        <v>151703</v>
      </c>
      <c r="F71" s="335">
        <f t="shared" si="17"/>
        <v>74.534109612597348</v>
      </c>
      <c r="G71" s="31"/>
      <c r="H71" s="31"/>
      <c r="I71" s="31"/>
      <c r="J71" s="193"/>
      <c r="K71" s="55"/>
      <c r="L71" s="78"/>
      <c r="M71" s="78"/>
      <c r="N71" s="79"/>
      <c r="O71" s="78"/>
    </row>
    <row r="72" spans="1:15" ht="17.45" customHeight="1" x14ac:dyDescent="0.2">
      <c r="A72" s="51" t="s">
        <v>22</v>
      </c>
      <c r="B72" s="304"/>
      <c r="C72" s="338">
        <f>C73+C74</f>
        <v>203527</v>
      </c>
      <c r="D72" s="338">
        <f>D73+D74</f>
        <v>222149</v>
      </c>
      <c r="E72" s="338">
        <f>E73+E74</f>
        <v>114956</v>
      </c>
      <c r="F72" s="335">
        <f t="shared" si="17"/>
        <v>51.747250719111946</v>
      </c>
      <c r="G72" s="257"/>
      <c r="H72" s="257"/>
      <c r="I72" s="257"/>
      <c r="J72" s="193"/>
      <c r="K72" s="254"/>
      <c r="L72" s="78"/>
      <c r="M72" s="78"/>
      <c r="N72" s="79"/>
      <c r="O72" s="78"/>
    </row>
    <row r="73" spans="1:15" ht="15" customHeight="1" x14ac:dyDescent="0.2">
      <c r="A73" s="28" t="s">
        <v>108</v>
      </c>
      <c r="B73" s="304"/>
      <c r="C73" s="30">
        <v>202122</v>
      </c>
      <c r="D73" s="30">
        <v>209802</v>
      </c>
      <c r="E73" s="30">
        <v>113257</v>
      </c>
      <c r="F73" s="335">
        <f t="shared" si="17"/>
        <v>53.982802833147446</v>
      </c>
      <c r="G73" s="31"/>
      <c r="H73" s="31"/>
      <c r="I73" s="31"/>
      <c r="J73" s="193"/>
      <c r="K73" s="55"/>
      <c r="L73" s="78"/>
      <c r="M73" s="78"/>
      <c r="N73" s="79"/>
      <c r="O73" s="78"/>
    </row>
    <row r="74" spans="1:15" ht="15" customHeight="1" x14ac:dyDescent="0.2">
      <c r="A74" s="307" t="s">
        <v>106</v>
      </c>
      <c r="B74" s="314"/>
      <c r="C74" s="336">
        <v>1405</v>
      </c>
      <c r="D74" s="336">
        <v>12347</v>
      </c>
      <c r="E74" s="336">
        <v>1699</v>
      </c>
      <c r="F74" s="302">
        <f t="shared" si="17"/>
        <v>13.760427634243136</v>
      </c>
      <c r="G74" s="31"/>
      <c r="H74" s="31"/>
      <c r="I74" s="31"/>
      <c r="J74" s="193"/>
      <c r="K74" s="55"/>
      <c r="L74" s="78"/>
      <c r="M74" s="78"/>
      <c r="N74" s="79"/>
      <c r="O74" s="78"/>
    </row>
    <row r="75" spans="1:15" s="35" customFormat="1" ht="15" x14ac:dyDescent="0.25">
      <c r="A75" s="303" t="s">
        <v>25</v>
      </c>
      <c r="B75" s="304">
        <v>14</v>
      </c>
      <c r="C75" s="337">
        <f>C76+C80</f>
        <v>441305</v>
      </c>
      <c r="D75" s="337">
        <f>D76+D80</f>
        <v>461139</v>
      </c>
      <c r="E75" s="337">
        <f>E76+E80</f>
        <v>236600</v>
      </c>
      <c r="F75" s="334">
        <f t="shared" ref="F75:F106" si="18">(E75/D75)*100</f>
        <v>51.307740182461259</v>
      </c>
      <c r="G75" s="251"/>
      <c r="H75" s="67"/>
      <c r="I75" s="67"/>
      <c r="J75" s="193"/>
      <c r="K75" s="67"/>
      <c r="L75" s="53"/>
      <c r="M75" s="77"/>
      <c r="N75" s="44"/>
      <c r="O75" s="77"/>
    </row>
    <row r="76" spans="1:15" s="32" customFormat="1" x14ac:dyDescent="0.2">
      <c r="A76" s="305" t="s">
        <v>21</v>
      </c>
      <c r="B76" s="306"/>
      <c r="C76" s="338">
        <f>C77+C78+C79</f>
        <v>71828</v>
      </c>
      <c r="D76" s="338">
        <f t="shared" ref="D76:E76" si="19">D77+D78+D79</f>
        <v>68020</v>
      </c>
      <c r="E76" s="338">
        <f t="shared" si="19"/>
        <v>22480</v>
      </c>
      <c r="F76" s="335">
        <f t="shared" si="18"/>
        <v>33.049103204939726</v>
      </c>
      <c r="G76" s="257"/>
      <c r="H76" s="257"/>
      <c r="I76" s="257"/>
      <c r="J76" s="193"/>
      <c r="K76" s="254"/>
      <c r="L76" s="53"/>
      <c r="M76" s="53"/>
      <c r="N76" s="54"/>
      <c r="O76" s="53"/>
    </row>
    <row r="77" spans="1:15" s="32" customFormat="1" x14ac:dyDescent="0.2">
      <c r="A77" s="28" t="s">
        <v>108</v>
      </c>
      <c r="B77" s="306"/>
      <c r="C77" s="30">
        <v>55153</v>
      </c>
      <c r="D77" s="30">
        <v>51345</v>
      </c>
      <c r="E77" s="30">
        <v>20102</v>
      </c>
      <c r="F77" s="335">
        <f>(E77/D77)*100</f>
        <v>39.15084234102639</v>
      </c>
      <c r="G77" s="31"/>
      <c r="H77" s="31"/>
      <c r="I77" s="31"/>
      <c r="J77" s="193"/>
      <c r="K77" s="55"/>
      <c r="L77" s="77"/>
      <c r="M77" s="53"/>
      <c r="N77" s="54"/>
      <c r="O77" s="53"/>
    </row>
    <row r="78" spans="1:15" s="32" customFormat="1" x14ac:dyDescent="0.2">
      <c r="A78" s="28" t="s">
        <v>106</v>
      </c>
      <c r="B78" s="306"/>
      <c r="C78" s="30">
        <v>0</v>
      </c>
      <c r="D78" s="30">
        <v>0</v>
      </c>
      <c r="E78" s="30">
        <v>0</v>
      </c>
      <c r="F78" s="335">
        <v>0</v>
      </c>
      <c r="G78" s="31"/>
      <c r="H78" s="31"/>
      <c r="I78" s="31"/>
      <c r="J78" s="193"/>
      <c r="K78" s="55"/>
      <c r="L78" s="53"/>
      <c r="M78" s="53"/>
      <c r="N78" s="54"/>
      <c r="O78" s="53"/>
    </row>
    <row r="79" spans="1:15" s="32" customFormat="1" x14ac:dyDescent="0.2">
      <c r="A79" s="457" t="s">
        <v>109</v>
      </c>
      <c r="B79" s="306"/>
      <c r="C79" s="30">
        <v>16675</v>
      </c>
      <c r="D79" s="30">
        <v>16675</v>
      </c>
      <c r="E79" s="30">
        <v>2378</v>
      </c>
      <c r="F79" s="335">
        <f t="shared" si="18"/>
        <v>14.260869565217391</v>
      </c>
      <c r="G79" s="31"/>
      <c r="H79" s="31"/>
      <c r="I79" s="31"/>
      <c r="J79" s="193"/>
      <c r="K79" s="55"/>
      <c r="L79" s="53"/>
      <c r="M79" s="53"/>
      <c r="N79" s="54"/>
      <c r="O79" s="53"/>
    </row>
    <row r="80" spans="1:15" s="32" customFormat="1" x14ac:dyDescent="0.2">
      <c r="A80" s="51" t="s">
        <v>22</v>
      </c>
      <c r="B80" s="306"/>
      <c r="C80" s="338">
        <f>C81+C82</f>
        <v>369477</v>
      </c>
      <c r="D80" s="338">
        <f t="shared" ref="D80:E80" si="20">D81+D82</f>
        <v>393119</v>
      </c>
      <c r="E80" s="338">
        <f t="shared" si="20"/>
        <v>214120</v>
      </c>
      <c r="F80" s="339">
        <f>(E80/D80)*100</f>
        <v>54.46696801731791</v>
      </c>
      <c r="G80" s="257"/>
      <c r="H80" s="257"/>
      <c r="I80" s="257"/>
      <c r="J80" s="193"/>
      <c r="K80" s="254"/>
      <c r="L80" s="53"/>
      <c r="M80" s="53"/>
      <c r="N80" s="54"/>
      <c r="O80" s="53"/>
    </row>
    <row r="81" spans="1:15" s="32" customFormat="1" x14ac:dyDescent="0.2">
      <c r="A81" s="28" t="s">
        <v>108</v>
      </c>
      <c r="B81" s="306"/>
      <c r="C81" s="30">
        <v>369477</v>
      </c>
      <c r="D81" s="30">
        <v>370335</v>
      </c>
      <c r="E81" s="30">
        <v>202421</v>
      </c>
      <c r="F81" s="339">
        <f t="shared" ref="F81:F82" si="21">(E81/D81)*100</f>
        <v>54.658889923987743</v>
      </c>
      <c r="G81" s="31"/>
      <c r="H81" s="31"/>
      <c r="I81" s="31"/>
      <c r="J81" s="193"/>
      <c r="K81" s="55"/>
      <c r="L81" s="53"/>
      <c r="M81" s="53"/>
      <c r="N81" s="54"/>
      <c r="O81" s="53"/>
    </row>
    <row r="82" spans="1:15" s="32" customFormat="1" x14ac:dyDescent="0.2">
      <c r="A82" s="307" t="s">
        <v>106</v>
      </c>
      <c r="B82" s="308"/>
      <c r="C82" s="336">
        <v>0</v>
      </c>
      <c r="D82" s="336">
        <v>22784</v>
      </c>
      <c r="E82" s="336">
        <v>11699</v>
      </c>
      <c r="F82" s="340">
        <f t="shared" si="21"/>
        <v>51.347436797752813</v>
      </c>
      <c r="G82" s="31"/>
      <c r="H82" s="31"/>
      <c r="I82" s="31"/>
      <c r="J82" s="31"/>
      <c r="K82" s="55"/>
      <c r="L82" s="53"/>
      <c r="M82" s="53"/>
      <c r="N82" s="54"/>
      <c r="O82" s="53"/>
    </row>
    <row r="83" spans="1:15" s="35" customFormat="1" ht="15" x14ac:dyDescent="0.25">
      <c r="A83" s="303" t="s">
        <v>26</v>
      </c>
      <c r="B83" s="304">
        <v>16</v>
      </c>
      <c r="C83" s="337">
        <v>0</v>
      </c>
      <c r="D83" s="337">
        <v>0</v>
      </c>
      <c r="E83" s="337">
        <v>0</v>
      </c>
      <c r="F83" s="334">
        <v>0</v>
      </c>
      <c r="G83" s="27"/>
      <c r="H83" s="31"/>
      <c r="I83" s="31"/>
      <c r="J83" s="31"/>
      <c r="K83" s="67"/>
      <c r="L83" s="77"/>
      <c r="M83" s="77"/>
      <c r="N83" s="44"/>
      <c r="O83" s="77"/>
    </row>
    <row r="84" spans="1:15" s="35" customFormat="1" ht="15" x14ac:dyDescent="0.25">
      <c r="A84" s="309" t="s">
        <v>99</v>
      </c>
      <c r="B84" s="310">
        <v>17</v>
      </c>
      <c r="C84" s="333">
        <f>C85+C86+C87</f>
        <v>318566</v>
      </c>
      <c r="D84" s="333">
        <f t="shared" ref="D84:E84" si="22">D85+D86+D87</f>
        <v>272014</v>
      </c>
      <c r="E84" s="333">
        <f t="shared" si="22"/>
        <v>81104</v>
      </c>
      <c r="F84" s="341">
        <f t="shared" si="18"/>
        <v>29.816112405979105</v>
      </c>
      <c r="G84" s="251"/>
      <c r="H84" s="27"/>
      <c r="I84" s="27"/>
      <c r="J84" s="193"/>
      <c r="K84" s="67"/>
      <c r="L84" s="77"/>
      <c r="M84" s="77"/>
      <c r="N84" s="44"/>
      <c r="O84" s="77"/>
    </row>
    <row r="85" spans="1:15" s="35" customFormat="1" x14ac:dyDescent="0.2">
      <c r="A85" s="28" t="s">
        <v>108</v>
      </c>
      <c r="B85" s="37"/>
      <c r="C85" s="30">
        <v>3455</v>
      </c>
      <c r="D85" s="30">
        <v>17968</v>
      </c>
      <c r="E85" s="30">
        <f>18282-E87</f>
        <v>2289</v>
      </c>
      <c r="F85" s="335">
        <f t="shared" si="18"/>
        <v>12.739314336598397</v>
      </c>
      <c r="G85" s="31"/>
      <c r="H85" s="31"/>
      <c r="I85" s="31"/>
      <c r="J85" s="193"/>
      <c r="K85" s="55"/>
      <c r="L85" s="77"/>
      <c r="M85" s="258"/>
      <c r="N85" s="44"/>
      <c r="O85" s="77"/>
    </row>
    <row r="86" spans="1:15" s="35" customFormat="1" x14ac:dyDescent="0.2">
      <c r="A86" s="28" t="s">
        <v>106</v>
      </c>
      <c r="B86" s="37"/>
      <c r="C86" s="30">
        <v>315111</v>
      </c>
      <c r="D86" s="30">
        <v>254046</v>
      </c>
      <c r="E86" s="30">
        <v>62822</v>
      </c>
      <c r="F86" s="335">
        <f t="shared" si="18"/>
        <v>24.728592459633294</v>
      </c>
      <c r="G86" s="31"/>
      <c r="H86" s="31"/>
      <c r="I86" s="31"/>
      <c r="J86" s="193"/>
      <c r="K86" s="55"/>
      <c r="L86" s="77"/>
      <c r="M86" s="259"/>
      <c r="N86" s="44"/>
      <c r="O86" s="77"/>
    </row>
    <row r="87" spans="1:15" s="35" customFormat="1" x14ac:dyDescent="0.2">
      <c r="A87" s="454" t="s">
        <v>107</v>
      </c>
      <c r="B87" s="314"/>
      <c r="C87" s="336">
        <v>0</v>
      </c>
      <c r="D87" s="336">
        <v>0</v>
      </c>
      <c r="E87" s="336">
        <v>15993</v>
      </c>
      <c r="F87" s="302">
        <v>0</v>
      </c>
      <c r="G87" s="31"/>
      <c r="H87" s="31"/>
      <c r="I87" s="31"/>
      <c r="J87" s="193"/>
      <c r="K87" s="55"/>
      <c r="L87" s="77"/>
      <c r="M87" s="77"/>
      <c r="N87" s="44"/>
      <c r="O87" s="77"/>
    </row>
    <row r="88" spans="1:15" s="35" customFormat="1" ht="15" x14ac:dyDescent="0.25">
      <c r="A88" s="311" t="s">
        <v>100</v>
      </c>
      <c r="B88" s="312">
        <v>18</v>
      </c>
      <c r="C88" s="337">
        <f>C89+C90+C91</f>
        <v>88592</v>
      </c>
      <c r="D88" s="337">
        <f t="shared" ref="D88:E88" si="23">D89+D90+D91</f>
        <v>97472</v>
      </c>
      <c r="E88" s="337">
        <f t="shared" si="23"/>
        <v>41799</v>
      </c>
      <c r="F88" s="334">
        <f t="shared" si="18"/>
        <v>42.883084372948126</v>
      </c>
      <c r="G88" s="31"/>
      <c r="H88" s="31"/>
      <c r="I88" s="31"/>
      <c r="J88" s="44"/>
      <c r="K88" s="55"/>
      <c r="L88" s="77"/>
      <c r="M88" s="46"/>
      <c r="N88" s="44"/>
      <c r="O88" s="77"/>
    </row>
    <row r="89" spans="1:15" s="35" customFormat="1" x14ac:dyDescent="0.2">
      <c r="A89" s="28" t="s">
        <v>108</v>
      </c>
      <c r="B89" s="37"/>
      <c r="C89" s="30">
        <v>61592</v>
      </c>
      <c r="D89" s="30">
        <v>59750</v>
      </c>
      <c r="E89" s="30">
        <v>27169</v>
      </c>
      <c r="F89" s="335">
        <f>(E89/D89)*100</f>
        <v>45.471129707112972</v>
      </c>
      <c r="G89" s="31"/>
      <c r="H89" s="31"/>
      <c r="I89" s="31"/>
      <c r="J89" s="193"/>
      <c r="K89" s="55"/>
      <c r="L89" s="77"/>
      <c r="M89" s="258"/>
      <c r="N89" s="44"/>
      <c r="O89" s="77"/>
    </row>
    <row r="90" spans="1:15" s="35" customFormat="1" x14ac:dyDescent="0.2">
      <c r="A90" s="28" t="s">
        <v>106</v>
      </c>
      <c r="B90" s="37"/>
      <c r="C90" s="30">
        <v>0</v>
      </c>
      <c r="D90" s="30">
        <v>12350</v>
      </c>
      <c r="E90" s="30">
        <v>0</v>
      </c>
      <c r="F90" s="335">
        <f>(E90/D90)*100</f>
        <v>0</v>
      </c>
      <c r="G90" s="31"/>
      <c r="H90" s="31"/>
      <c r="I90" s="31"/>
      <c r="J90" s="54"/>
      <c r="K90" s="55"/>
      <c r="L90" s="77"/>
      <c r="M90" s="259"/>
      <c r="N90" s="44"/>
      <c r="O90" s="77"/>
    </row>
    <row r="91" spans="1:15" s="35" customFormat="1" x14ac:dyDescent="0.2">
      <c r="A91" s="454" t="s">
        <v>109</v>
      </c>
      <c r="B91" s="308"/>
      <c r="C91" s="336">
        <v>27000</v>
      </c>
      <c r="D91" s="336">
        <v>25372</v>
      </c>
      <c r="E91" s="336">
        <v>14630</v>
      </c>
      <c r="F91" s="302">
        <f>(E91/D91)*100</f>
        <v>57.661989594828945</v>
      </c>
      <c r="G91" s="31"/>
      <c r="H91" s="31"/>
      <c r="I91" s="31"/>
      <c r="J91" s="31"/>
      <c r="K91" s="55"/>
      <c r="L91" s="77"/>
      <c r="M91" s="46"/>
      <c r="N91" s="44"/>
      <c r="O91" s="77"/>
    </row>
    <row r="92" spans="1:15" s="35" customFormat="1" ht="15" x14ac:dyDescent="0.25">
      <c r="A92" s="313" t="s">
        <v>90</v>
      </c>
      <c r="B92" s="314">
        <v>20</v>
      </c>
      <c r="C92" s="342">
        <v>498</v>
      </c>
      <c r="D92" s="342">
        <v>498</v>
      </c>
      <c r="E92" s="342">
        <v>0</v>
      </c>
      <c r="F92" s="329">
        <f t="shared" si="18"/>
        <v>0</v>
      </c>
      <c r="G92" s="31"/>
      <c r="H92" s="31"/>
      <c r="I92" s="31"/>
      <c r="J92" s="44"/>
      <c r="K92" s="55"/>
      <c r="L92" s="77"/>
      <c r="M92" s="46"/>
      <c r="N92" s="44"/>
      <c r="O92" s="77"/>
    </row>
    <row r="93" spans="1:15" s="35" customFormat="1" ht="15" x14ac:dyDescent="0.25">
      <c r="A93" s="303" t="s">
        <v>27</v>
      </c>
      <c r="B93" s="304" t="s">
        <v>125</v>
      </c>
      <c r="C93" s="337">
        <f>SUM(C94:C96)</f>
        <v>675836</v>
      </c>
      <c r="D93" s="337">
        <f t="shared" ref="D93:E93" si="24">SUM(D94:D96)</f>
        <v>949036</v>
      </c>
      <c r="E93" s="337">
        <f t="shared" si="24"/>
        <v>393548</v>
      </c>
      <c r="F93" s="334">
        <f t="shared" si="18"/>
        <v>41.468184557803916</v>
      </c>
      <c r="G93" s="27"/>
      <c r="H93" s="27"/>
      <c r="I93" s="27"/>
      <c r="J93" s="193"/>
      <c r="K93" s="67"/>
      <c r="L93" s="77"/>
      <c r="M93" s="77"/>
      <c r="N93" s="44"/>
      <c r="O93" s="77"/>
    </row>
    <row r="94" spans="1:15" s="35" customFormat="1" x14ac:dyDescent="0.2">
      <c r="A94" s="28" t="s">
        <v>108</v>
      </c>
      <c r="B94" s="304"/>
      <c r="C94" s="30">
        <f>53833-C96</f>
        <v>53833</v>
      </c>
      <c r="D94" s="30">
        <f>166565-D96</f>
        <v>166565</v>
      </c>
      <c r="E94" s="30">
        <f>155586-E96</f>
        <v>73921</v>
      </c>
      <c r="F94" s="335">
        <f t="shared" si="18"/>
        <v>44.379671599675802</v>
      </c>
      <c r="G94" s="31"/>
      <c r="H94" s="31"/>
      <c r="I94" s="31"/>
      <c r="J94" s="193"/>
      <c r="K94" s="55"/>
      <c r="L94" s="77"/>
      <c r="M94" s="77"/>
      <c r="N94" s="44"/>
      <c r="O94" s="77"/>
    </row>
    <row r="95" spans="1:15" s="35" customFormat="1" x14ac:dyDescent="0.2">
      <c r="A95" s="28" t="s">
        <v>106</v>
      </c>
      <c r="B95" s="304"/>
      <c r="C95" s="30">
        <v>622003</v>
      </c>
      <c r="D95" s="30">
        <v>782471</v>
      </c>
      <c r="E95" s="30">
        <v>237962</v>
      </c>
      <c r="F95" s="335">
        <f t="shared" si="18"/>
        <v>30.41160630873221</v>
      </c>
      <c r="G95" s="31"/>
      <c r="H95" s="31"/>
      <c r="I95" s="31"/>
      <c r="J95" s="193"/>
      <c r="K95" s="55"/>
      <c r="L95" s="77"/>
      <c r="M95" s="77"/>
      <c r="N95" s="44"/>
      <c r="O95" s="77"/>
    </row>
    <row r="96" spans="1:15" s="35" customFormat="1" x14ac:dyDescent="0.2">
      <c r="A96" s="457" t="s">
        <v>107</v>
      </c>
      <c r="B96" s="304"/>
      <c r="C96" s="30">
        <v>0</v>
      </c>
      <c r="D96" s="30">
        <v>0</v>
      </c>
      <c r="E96" s="30">
        <v>81665</v>
      </c>
      <c r="F96" s="302">
        <v>0</v>
      </c>
      <c r="G96" s="31"/>
      <c r="H96" s="31"/>
      <c r="I96" s="31"/>
      <c r="J96" s="193"/>
      <c r="K96" s="55"/>
      <c r="L96" s="77"/>
      <c r="M96" s="77"/>
      <c r="N96" s="44"/>
      <c r="O96" s="77"/>
    </row>
    <row r="97" spans="1:15" s="35" customFormat="1" ht="15" x14ac:dyDescent="0.25">
      <c r="A97" s="315" t="s">
        <v>154</v>
      </c>
      <c r="B97" s="316">
        <v>98</v>
      </c>
      <c r="C97" s="333">
        <f>C98</f>
        <v>0</v>
      </c>
      <c r="D97" s="333">
        <f t="shared" ref="D97:E97" si="25">D98</f>
        <v>22457</v>
      </c>
      <c r="E97" s="333">
        <f t="shared" si="25"/>
        <v>16389</v>
      </c>
      <c r="F97" s="334">
        <f t="shared" ref="F97" si="26">(E97/D97)*100</f>
        <v>72.979471879592111</v>
      </c>
      <c r="G97" s="31"/>
      <c r="H97" s="31"/>
      <c r="I97" s="31"/>
      <c r="J97" s="193"/>
      <c r="K97" s="67"/>
      <c r="L97" s="77"/>
      <c r="M97" s="77"/>
      <c r="N97" s="44"/>
      <c r="O97" s="77"/>
    </row>
    <row r="98" spans="1:15" s="35" customFormat="1" x14ac:dyDescent="0.2">
      <c r="A98" s="28" t="s">
        <v>108</v>
      </c>
      <c r="B98" s="304"/>
      <c r="C98" s="336">
        <v>0</v>
      </c>
      <c r="D98" s="336">
        <v>22457</v>
      </c>
      <c r="E98" s="336">
        <v>16389</v>
      </c>
      <c r="F98" s="302">
        <f t="shared" si="18"/>
        <v>72.979471879592111</v>
      </c>
      <c r="G98" s="31"/>
      <c r="H98" s="31"/>
      <c r="I98" s="31"/>
      <c r="J98" s="193"/>
      <c r="K98" s="55"/>
      <c r="L98" s="77"/>
      <c r="M98" s="77"/>
      <c r="N98" s="44"/>
      <c r="O98" s="77"/>
    </row>
    <row r="99" spans="1:15" s="35" customFormat="1" ht="15" x14ac:dyDescent="0.25">
      <c r="A99" s="315" t="s">
        <v>44</v>
      </c>
      <c r="B99" s="316">
        <v>99</v>
      </c>
      <c r="C99" s="337">
        <f>+C102+C100+C101</f>
        <v>34300</v>
      </c>
      <c r="D99" s="337">
        <f t="shared" ref="D99:E99" si="27">+D102+D100+D101</f>
        <v>34300</v>
      </c>
      <c r="E99" s="337">
        <f t="shared" si="27"/>
        <v>0</v>
      </c>
      <c r="F99" s="334">
        <f t="shared" si="18"/>
        <v>0</v>
      </c>
      <c r="G99" s="31"/>
      <c r="H99" s="31"/>
      <c r="I99" s="31"/>
      <c r="J99" s="193"/>
      <c r="K99" s="67"/>
      <c r="L99" s="77"/>
      <c r="M99" s="77"/>
      <c r="N99" s="44"/>
      <c r="O99" s="77"/>
    </row>
    <row r="100" spans="1:15" s="35" customFormat="1" x14ac:dyDescent="0.2">
      <c r="A100" s="28" t="s">
        <v>108</v>
      </c>
      <c r="B100" s="304"/>
      <c r="C100" s="30">
        <v>0</v>
      </c>
      <c r="D100" s="30">
        <v>0</v>
      </c>
      <c r="E100" s="30">
        <v>0</v>
      </c>
      <c r="F100" s="335">
        <v>0</v>
      </c>
      <c r="G100" s="31"/>
      <c r="H100" s="31"/>
      <c r="I100" s="31"/>
      <c r="J100" s="193"/>
      <c r="K100" s="55"/>
      <c r="L100" s="77"/>
      <c r="M100" s="77"/>
      <c r="N100" s="44"/>
      <c r="O100" s="77"/>
    </row>
    <row r="101" spans="1:15" s="35" customFormat="1" x14ac:dyDescent="0.2">
      <c r="A101" s="28" t="s">
        <v>106</v>
      </c>
      <c r="B101" s="304"/>
      <c r="C101" s="30">
        <v>0</v>
      </c>
      <c r="D101" s="30">
        <v>0</v>
      </c>
      <c r="E101" s="30">
        <v>0</v>
      </c>
      <c r="F101" s="335">
        <v>0</v>
      </c>
      <c r="G101" s="31"/>
      <c r="H101" s="31"/>
      <c r="I101" s="31"/>
      <c r="J101" s="193"/>
      <c r="K101" s="55"/>
      <c r="L101" s="77"/>
      <c r="M101" s="260"/>
      <c r="N101" s="44"/>
      <c r="O101" s="77"/>
    </row>
    <row r="102" spans="1:15" s="35" customFormat="1" x14ac:dyDescent="0.2">
      <c r="A102" s="454" t="s">
        <v>109</v>
      </c>
      <c r="B102" s="314"/>
      <c r="C102" s="336">
        <v>34300</v>
      </c>
      <c r="D102" s="336">
        <v>34300</v>
      </c>
      <c r="E102" s="336">
        <v>0</v>
      </c>
      <c r="F102" s="302">
        <f t="shared" si="18"/>
        <v>0</v>
      </c>
      <c r="G102" s="31"/>
      <c r="H102" s="31"/>
      <c r="I102" s="31"/>
      <c r="J102" s="193"/>
      <c r="K102" s="55"/>
      <c r="L102" s="77"/>
      <c r="M102" s="260"/>
      <c r="N102" s="44"/>
      <c r="O102" s="77"/>
    </row>
    <row r="103" spans="1:15" s="35" customFormat="1" ht="15" x14ac:dyDescent="0.25">
      <c r="A103" s="317" t="s">
        <v>28</v>
      </c>
      <c r="B103" s="304">
        <v>199</v>
      </c>
      <c r="C103" s="337">
        <f>C104</f>
        <v>11328</v>
      </c>
      <c r="D103" s="337">
        <f>D104</f>
        <v>11568</v>
      </c>
      <c r="E103" s="337">
        <f>E104</f>
        <v>5157</v>
      </c>
      <c r="F103" s="334">
        <f t="shared" si="18"/>
        <v>44.579875518672203</v>
      </c>
      <c r="G103" s="31"/>
      <c r="H103" s="31"/>
      <c r="I103" s="31"/>
      <c r="J103" s="193"/>
      <c r="K103" s="67"/>
      <c r="L103" s="43"/>
      <c r="M103" s="77"/>
      <c r="N103" s="44"/>
      <c r="O103" s="77"/>
    </row>
    <row r="104" spans="1:15" s="35" customFormat="1" x14ac:dyDescent="0.2">
      <c r="A104" s="28" t="s">
        <v>108</v>
      </c>
      <c r="B104" s="304"/>
      <c r="C104" s="30">
        <v>11328</v>
      </c>
      <c r="D104" s="30">
        <v>11568</v>
      </c>
      <c r="E104" s="30">
        <v>5157</v>
      </c>
      <c r="F104" s="335">
        <f t="shared" si="18"/>
        <v>44.579875518672203</v>
      </c>
      <c r="G104" s="31"/>
      <c r="H104" s="31"/>
      <c r="I104" s="31"/>
      <c r="J104" s="193"/>
      <c r="K104" s="55"/>
      <c r="L104" s="43"/>
      <c r="M104" s="44"/>
      <c r="N104" s="44"/>
      <c r="O104" s="77"/>
    </row>
    <row r="105" spans="1:15" s="35" customFormat="1" x14ac:dyDescent="0.2">
      <c r="A105" s="28" t="s">
        <v>106</v>
      </c>
      <c r="B105" s="314"/>
      <c r="C105" s="336">
        <v>0</v>
      </c>
      <c r="D105" s="336">
        <v>0</v>
      </c>
      <c r="E105" s="336">
        <v>0</v>
      </c>
      <c r="F105" s="335">
        <v>0</v>
      </c>
      <c r="G105" s="31"/>
      <c r="H105" s="31"/>
      <c r="I105" s="31"/>
      <c r="J105" s="193"/>
      <c r="K105" s="55"/>
      <c r="L105" s="43"/>
      <c r="M105" s="44"/>
      <c r="N105" s="44"/>
      <c r="O105" s="77"/>
    </row>
    <row r="106" spans="1:15" ht="21.75" customHeight="1" x14ac:dyDescent="0.25">
      <c r="A106" s="515" t="s">
        <v>29</v>
      </c>
      <c r="B106" s="516"/>
      <c r="C106" s="85">
        <f>C6+C14+C17+C23+C28+C32+C36+C47+C55+C75+C83+C84+C93+C99+C103+C88+C92+C67+C20+C10+C97</f>
        <v>6363829</v>
      </c>
      <c r="D106" s="85">
        <f t="shared" ref="D106" si="28">D6+D14+D17+D23+D28+D32+D36+D47+D55+D75+D83+D84+D93+D99+D103+D88+D92+D67+D20+D10+D97</f>
        <v>19890582</v>
      </c>
      <c r="E106" s="85">
        <f>E6+E14+E17+E23+E28+E32+E36+E47+E55+E75+E83+E84+E93+E99+E103+E88+E92+E67+E20+E10+E97</f>
        <v>21212359</v>
      </c>
      <c r="F106" s="329">
        <f t="shared" si="18"/>
        <v>106.64524044595578</v>
      </c>
      <c r="G106" s="125"/>
      <c r="H106" s="88"/>
      <c r="I106" s="88"/>
      <c r="J106" s="88"/>
      <c r="K106" s="111"/>
      <c r="L106" s="43"/>
      <c r="M106" s="78"/>
      <c r="N106" s="79"/>
      <c r="O106" s="78"/>
    </row>
    <row r="107" spans="1:15" ht="21" customHeight="1" x14ac:dyDescent="0.2">
      <c r="A107" s="458" t="s">
        <v>111</v>
      </c>
      <c r="B107" s="459"/>
      <c r="C107" s="30">
        <f>C96+C27+C9+C13</f>
        <v>11315</v>
      </c>
      <c r="D107" s="30">
        <f>D96+D27+D9+D13</f>
        <v>11555</v>
      </c>
      <c r="E107" s="30">
        <f>E96+E27+E9+E13+E87</f>
        <v>10492811</v>
      </c>
      <c r="F107" s="302">
        <f>(E107/D107)*100</f>
        <v>90807.537862397221</v>
      </c>
      <c r="G107" s="31"/>
      <c r="H107" s="87"/>
      <c r="I107" s="87"/>
      <c r="J107" s="87"/>
      <c r="K107" s="68"/>
      <c r="L107" s="43"/>
      <c r="M107" s="78"/>
      <c r="N107" s="79"/>
      <c r="O107" s="78"/>
    </row>
    <row r="108" spans="1:15" ht="32.25" thickBot="1" x14ac:dyDescent="0.3">
      <c r="A108" s="126" t="s">
        <v>30</v>
      </c>
      <c r="B108" s="127"/>
      <c r="C108" s="84">
        <f>C106-C107</f>
        <v>6352514</v>
      </c>
      <c r="D108" s="84">
        <f>D106-D107</f>
        <v>19879027</v>
      </c>
      <c r="E108" s="84">
        <f>E106-E107</f>
        <v>10719548</v>
      </c>
      <c r="F108" s="330">
        <f>(E108/D108)*100</f>
        <v>53.92390683910233</v>
      </c>
      <c r="G108" s="125"/>
      <c r="H108" s="27"/>
      <c r="I108" s="27"/>
      <c r="J108" s="75"/>
      <c r="K108" s="72"/>
      <c r="L108" s="41"/>
      <c r="M108" s="78"/>
      <c r="N108" s="79"/>
      <c r="O108" s="78"/>
    </row>
    <row r="109" spans="1:15" ht="18.75" customHeight="1" thickTop="1" x14ac:dyDescent="0.25">
      <c r="A109" s="511" t="s">
        <v>124</v>
      </c>
      <c r="B109" s="511"/>
      <c r="C109" s="511"/>
      <c r="D109" s="511"/>
      <c r="E109" s="511"/>
      <c r="G109" s="27"/>
      <c r="H109" s="27"/>
      <c r="I109" s="27"/>
      <c r="J109" s="75"/>
      <c r="K109" s="72"/>
      <c r="L109" s="41"/>
      <c r="M109" s="78"/>
      <c r="N109" s="79"/>
      <c r="O109" s="78"/>
    </row>
    <row r="110" spans="1:15" x14ac:dyDescent="0.2">
      <c r="A110" s="511"/>
      <c r="B110" s="511"/>
      <c r="C110" s="511"/>
      <c r="D110" s="511"/>
      <c r="E110" s="511"/>
      <c r="F110" s="57"/>
      <c r="G110" s="57"/>
      <c r="H110" s="57"/>
      <c r="I110" s="57"/>
      <c r="J110" s="52"/>
      <c r="L110" s="56"/>
    </row>
    <row r="111" spans="1:15" x14ac:dyDescent="0.2">
      <c r="J111" s="52"/>
    </row>
    <row r="112" spans="1:15" x14ac:dyDescent="0.2">
      <c r="J112" s="52"/>
    </row>
    <row r="113" spans="1:14" x14ac:dyDescent="0.2">
      <c r="J113" s="52"/>
    </row>
    <row r="114" spans="1:14" ht="15" thickBot="1" x14ac:dyDescent="0.25">
      <c r="A114" s="222" t="s">
        <v>93</v>
      </c>
      <c r="F114" s="296" t="s">
        <v>0</v>
      </c>
      <c r="J114" s="52"/>
    </row>
    <row r="115" spans="1:14" ht="25.5" customHeight="1" thickTop="1" thickBot="1" x14ac:dyDescent="0.25">
      <c r="A115" s="524" t="s">
        <v>91</v>
      </c>
      <c r="B115" s="525"/>
      <c r="C115" s="273" t="s">
        <v>11</v>
      </c>
      <c r="D115" s="273" t="s">
        <v>12</v>
      </c>
      <c r="E115" s="273" t="s">
        <v>4</v>
      </c>
      <c r="F115" s="274" t="s">
        <v>5</v>
      </c>
      <c r="J115" s="52"/>
    </row>
    <row r="116" spans="1:14" ht="15.75" thickTop="1" thickBot="1" x14ac:dyDescent="0.25">
      <c r="A116" s="524">
        <v>1</v>
      </c>
      <c r="B116" s="525"/>
      <c r="C116" s="273">
        <v>2</v>
      </c>
      <c r="D116" s="273">
        <v>3</v>
      </c>
      <c r="E116" s="273">
        <v>4</v>
      </c>
      <c r="F116" s="272" t="s">
        <v>95</v>
      </c>
      <c r="J116" s="52"/>
      <c r="K116" s="17"/>
      <c r="N116" s="17"/>
    </row>
    <row r="117" spans="1:14" ht="15" thickTop="1" x14ac:dyDescent="0.2">
      <c r="A117" s="526" t="s">
        <v>112</v>
      </c>
      <c r="B117" s="527"/>
      <c r="C117" s="300">
        <f>C104+C100+C94+C89+C85+C81+C77+C69+C61+C57+C53+C49+C45+C42+C38+C33+C29+C24+C21+C18+C15+C7+C92+C83+C11+C73+C98+413291</f>
        <v>5143950</v>
      </c>
      <c r="D117" s="300">
        <f>D104+D100+D94+D89+D85+D81+D77+D69+D61+D57+D53+D49+D45+D42+D38+D33+D29+D24+D21+D18+D15+D7+D92+D83+D11+D73+D98+317344</f>
        <v>18043674</v>
      </c>
      <c r="E117" s="300">
        <f>E104+E100+E94+E89+E85+E81+E77+E69+E61+E57+E53+E49+E45+E42+E38+E33+E29+E24+E21+E18+E15+E7+E92+E83+E11+E73+E98+175195</f>
        <v>10128070</v>
      </c>
      <c r="F117" s="301">
        <f>E117/D117*100</f>
        <v>56.130863370730374</v>
      </c>
      <c r="J117" s="52"/>
      <c r="K117" s="17"/>
      <c r="N117" s="17"/>
    </row>
    <row r="118" spans="1:14" ht="12" customHeight="1" x14ac:dyDescent="0.2">
      <c r="A118" s="528" t="s">
        <v>113</v>
      </c>
      <c r="B118" s="529"/>
      <c r="C118" s="241">
        <f>C105+C101+C90+C86+C82+C78+C70+C62+C58+C54+C50+C46+C43+C39+C34+C30+C25+C22+C19+C16+C8+C95+C12+C74+90250</f>
        <v>1208564</v>
      </c>
      <c r="D118" s="241">
        <f>D105+D101+D90+D86+D82+D78+D70+D62+D58+D54+D50+D46+D43+D39+D34+D30+D25+D22+D19+D16+D8+D95+D12+D74+191318</f>
        <v>1835353</v>
      </c>
      <c r="E118" s="241">
        <f>E105+E101+E90+E86+E82+E78+E70+E62+E58+E54+E50+E46+E43+E39+E34+E30+E25+E22+E19+E16+E8+E95+E12+E74+66298</f>
        <v>591478</v>
      </c>
      <c r="F118" s="242">
        <f>E118/D118*100</f>
        <v>32.226934001252076</v>
      </c>
      <c r="J118" s="52"/>
      <c r="K118" s="17"/>
      <c r="N118" s="17"/>
    </row>
    <row r="119" spans="1:14" hidden="1" x14ac:dyDescent="0.2">
      <c r="A119" s="530" t="s">
        <v>109</v>
      </c>
      <c r="B119" s="531"/>
      <c r="C119" s="345"/>
      <c r="D119" s="345"/>
      <c r="E119" s="345"/>
      <c r="F119" s="346" t="e">
        <f>E119/D119*100</f>
        <v>#DIV/0!</v>
      </c>
      <c r="J119" s="52"/>
      <c r="K119" s="17"/>
      <c r="N119" s="17"/>
    </row>
    <row r="120" spans="1:14" ht="15" thickBot="1" x14ac:dyDescent="0.25">
      <c r="A120" s="520" t="s">
        <v>111</v>
      </c>
      <c r="B120" s="521"/>
      <c r="C120" s="331">
        <f>C107</f>
        <v>11315</v>
      </c>
      <c r="D120" s="331">
        <f>D107</f>
        <v>11555</v>
      </c>
      <c r="E120" s="331">
        <f>E107</f>
        <v>10492811</v>
      </c>
      <c r="F120" s="332">
        <f>(E120/D120)*100</f>
        <v>90807.537862397221</v>
      </c>
      <c r="J120" s="52"/>
      <c r="K120" s="17"/>
      <c r="N120" s="17"/>
    </row>
    <row r="121" spans="1:14" ht="15" customHeight="1" thickTop="1" x14ac:dyDescent="0.2">
      <c r="A121" s="522" t="s">
        <v>122</v>
      </c>
      <c r="B121" s="523"/>
      <c r="C121" s="327">
        <f>C117+C118+C119+C120</f>
        <v>6363829</v>
      </c>
      <c r="D121" s="327">
        <f t="shared" ref="D121:E121" si="29">D117+D118+D119+D120</f>
        <v>19890582</v>
      </c>
      <c r="E121" s="327">
        <f t="shared" si="29"/>
        <v>21212359</v>
      </c>
      <c r="F121" s="328">
        <f>(E121/D121)*100</f>
        <v>106.64524044595578</v>
      </c>
      <c r="J121" s="52"/>
      <c r="K121" s="17"/>
      <c r="N121" s="17"/>
    </row>
    <row r="122" spans="1:14" x14ac:dyDescent="0.2">
      <c r="A122" s="513" t="s">
        <v>111</v>
      </c>
      <c r="B122" s="514"/>
      <c r="C122" s="455">
        <f>C120</f>
        <v>11315</v>
      </c>
      <c r="D122" s="455">
        <f t="shared" ref="D122" si="30">D120</f>
        <v>11555</v>
      </c>
      <c r="E122" s="455">
        <f>E120</f>
        <v>10492811</v>
      </c>
      <c r="F122" s="456">
        <f>(E122/D122)*100</f>
        <v>90807.537862397221</v>
      </c>
      <c r="H122" s="56"/>
      <c r="I122" s="56"/>
      <c r="J122" s="56"/>
      <c r="K122" s="17"/>
      <c r="N122" s="17"/>
    </row>
    <row r="123" spans="1:14" ht="15.75" thickBot="1" x14ac:dyDescent="0.3">
      <c r="A123" s="324" t="s">
        <v>123</v>
      </c>
      <c r="B123" s="325"/>
      <c r="C123" s="326">
        <f>C121-C122</f>
        <v>6352514</v>
      </c>
      <c r="D123" s="326">
        <f>D121-D122</f>
        <v>19879027</v>
      </c>
      <c r="E123" s="326">
        <f>E121-E122</f>
        <v>10719548</v>
      </c>
      <c r="F123" s="323">
        <f>(E123/D123)*100</f>
        <v>53.92390683910233</v>
      </c>
      <c r="H123" s="89"/>
      <c r="I123" s="89"/>
      <c r="J123" s="89"/>
      <c r="K123" s="17"/>
      <c r="N123" s="17"/>
    </row>
    <row r="124" spans="1:14" ht="15" thickTop="1" x14ac:dyDescent="0.2"/>
  </sheetData>
  <mergeCells count="12">
    <mergeCell ref="A122:B122"/>
    <mergeCell ref="A106:B106"/>
    <mergeCell ref="A1:F1"/>
    <mergeCell ref="A2:F2"/>
    <mergeCell ref="A120:B120"/>
    <mergeCell ref="A121:B121"/>
    <mergeCell ref="A109:E110"/>
    <mergeCell ref="A115:B115"/>
    <mergeCell ref="A116:B116"/>
    <mergeCell ref="A117:B117"/>
    <mergeCell ref="A118:B118"/>
    <mergeCell ref="A119:B119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76" firstPageNumber="5" orientation="portrait" useFirstPageNumber="1" r:id="rId1"/>
  <headerFooter alignWithMargins="0">
    <oddFooter xml:space="preserve">&amp;L&amp;"Arial,Kurzíva"Zastupitelstvo Olomouckého kraje 26. 9. 2022
9.4. - Rozpočet Olomouckého kraje 2022 - plnění rozpočtu k 30. 6. 2022
Příloha č.2 - Plnění rozpočtu Olomouckého kraje k 30. 6. 2022&amp;R&amp;"Arial,Kurzíva"Strana &amp;P (Celkem 8)
</oddFooter>
  </headerFooter>
  <rowBreaks count="1" manualBreakCount="1">
    <brk id="63" max="5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G30"/>
  <sheetViews>
    <sheetView showGridLines="0" view="pageBreakPreview" zoomScale="110" zoomScaleNormal="100" zoomScaleSheetLayoutView="110" workbookViewId="0">
      <selection activeCell="A2" sqref="A2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9" customWidth="1"/>
    <col min="4" max="4" width="15.7109375" style="169" customWidth="1"/>
    <col min="5" max="5" width="5.140625" style="1" customWidth="1"/>
    <col min="6" max="6" width="10.85546875" style="1" bestFit="1" customWidth="1"/>
    <col min="7" max="7" width="10.140625" style="1" bestFit="1" customWidth="1"/>
    <col min="8" max="16384" width="9.140625" style="1"/>
  </cols>
  <sheetData>
    <row r="1" spans="1:7" ht="20.25" x14ac:dyDescent="0.3">
      <c r="A1" s="512" t="s">
        <v>155</v>
      </c>
      <c r="B1" s="512"/>
      <c r="C1" s="512"/>
      <c r="D1" s="512"/>
      <c r="E1" s="512"/>
    </row>
    <row r="3" spans="1:7" x14ac:dyDescent="0.2">
      <c r="A3" s="507" t="s">
        <v>97</v>
      </c>
      <c r="B3" s="507"/>
      <c r="C3" s="507"/>
      <c r="D3" s="507"/>
      <c r="E3" s="507"/>
    </row>
    <row r="4" spans="1:7" ht="30.75" customHeight="1" x14ac:dyDescent="0.2">
      <c r="A4" s="507"/>
      <c r="B4" s="507"/>
      <c r="C4" s="507"/>
      <c r="D4" s="507"/>
      <c r="E4" s="507"/>
    </row>
    <row r="6" spans="1:7" ht="13.5" thickBot="1" x14ac:dyDescent="0.25">
      <c r="B6" s="9"/>
      <c r="C6" s="174"/>
      <c r="D6" s="170"/>
      <c r="E6" s="2" t="s">
        <v>0</v>
      </c>
    </row>
    <row r="7" spans="1:7" ht="14.25" thickTop="1" thickBot="1" x14ac:dyDescent="0.25">
      <c r="A7" s="268" t="s">
        <v>88</v>
      </c>
      <c r="B7" s="269" t="s">
        <v>11</v>
      </c>
      <c r="C7" s="270" t="s">
        <v>12</v>
      </c>
      <c r="D7" s="270" t="s">
        <v>4</v>
      </c>
      <c r="E7" s="270" t="s">
        <v>5</v>
      </c>
      <c r="F7" s="13"/>
      <c r="G7" s="13"/>
    </row>
    <row r="8" spans="1:7" ht="14.25" thickTop="1" thickBot="1" x14ac:dyDescent="0.25">
      <c r="A8" s="266">
        <v>1</v>
      </c>
      <c r="B8" s="264">
        <v>2</v>
      </c>
      <c r="C8" s="264">
        <v>3</v>
      </c>
      <c r="D8" s="264">
        <v>4</v>
      </c>
      <c r="E8" s="264" t="s">
        <v>6</v>
      </c>
      <c r="F8" s="13"/>
      <c r="G8" s="13"/>
    </row>
    <row r="9" spans="1:7" ht="15" hidden="1" thickTop="1" x14ac:dyDescent="0.2">
      <c r="A9" s="246" t="s">
        <v>114</v>
      </c>
      <c r="B9" s="247">
        <v>0</v>
      </c>
      <c r="C9" s="248">
        <v>0</v>
      </c>
      <c r="D9" s="248">
        <v>0</v>
      </c>
      <c r="E9" s="80" t="e">
        <f>(D9/C9)*100</f>
        <v>#DIV/0!</v>
      </c>
      <c r="F9" s="13"/>
      <c r="G9" s="13"/>
    </row>
    <row r="10" spans="1:7" ht="29.25" thickTop="1" x14ac:dyDescent="0.2">
      <c r="A10" s="244" t="s">
        <v>115</v>
      </c>
      <c r="B10" s="249">
        <v>213000</v>
      </c>
      <c r="C10" s="245">
        <v>590040</v>
      </c>
      <c r="D10" s="245">
        <v>-1573950</v>
      </c>
      <c r="E10" s="237">
        <f>(D10/C10)*100</f>
        <v>-266.75310148464513</v>
      </c>
      <c r="F10" s="13"/>
      <c r="G10" s="13"/>
    </row>
    <row r="11" spans="1:7" ht="28.5" x14ac:dyDescent="0.2">
      <c r="A11" s="244" t="s">
        <v>119</v>
      </c>
      <c r="B11" s="249">
        <v>0</v>
      </c>
      <c r="C11" s="245">
        <v>300000</v>
      </c>
      <c r="D11" s="245"/>
      <c r="E11" s="237"/>
      <c r="F11" s="13"/>
      <c r="G11" s="13"/>
    </row>
    <row r="12" spans="1:7" ht="28.5" x14ac:dyDescent="0.2">
      <c r="A12" s="244" t="s">
        <v>121</v>
      </c>
      <c r="B12" s="249">
        <v>0</v>
      </c>
      <c r="C12" s="245">
        <v>-300000</v>
      </c>
      <c r="D12" s="245">
        <v>-300000</v>
      </c>
      <c r="E12" s="237"/>
      <c r="F12" s="13"/>
      <c r="G12" s="13"/>
    </row>
    <row r="13" spans="1:7" ht="14.25" x14ac:dyDescent="0.2">
      <c r="A13" s="244" t="s">
        <v>120</v>
      </c>
      <c r="B13" s="249">
        <v>500000</v>
      </c>
      <c r="C13" s="245">
        <v>500000</v>
      </c>
      <c r="D13" s="245">
        <v>200000</v>
      </c>
      <c r="E13" s="237">
        <f t="shared" ref="E13" si="0">(D13/C13)*100</f>
        <v>40</v>
      </c>
      <c r="F13" s="13"/>
      <c r="G13" s="13"/>
    </row>
    <row r="14" spans="1:7" ht="15" x14ac:dyDescent="0.25">
      <c r="A14" s="223" t="s">
        <v>116</v>
      </c>
      <c r="B14" s="227">
        <v>-271341</v>
      </c>
      <c r="C14" s="232">
        <v>-291309</v>
      </c>
      <c r="D14" s="232">
        <v>-155638</v>
      </c>
      <c r="E14" s="237">
        <f>(D14/C14)*100</f>
        <v>53.42711691022248</v>
      </c>
      <c r="F14" s="27"/>
      <c r="G14" s="13"/>
    </row>
    <row r="15" spans="1:7" ht="43.5" x14ac:dyDescent="0.25">
      <c r="A15" s="349" t="s">
        <v>129</v>
      </c>
      <c r="B15" s="350">
        <v>0</v>
      </c>
      <c r="C15" s="351">
        <v>0</v>
      </c>
      <c r="D15" s="351">
        <v>303</v>
      </c>
      <c r="E15" s="261"/>
      <c r="F15" s="27"/>
      <c r="G15" s="13"/>
    </row>
    <row r="16" spans="1:7" ht="16.5" thickBot="1" x14ac:dyDescent="0.3">
      <c r="A16" s="238" t="s">
        <v>89</v>
      </c>
      <c r="B16" s="239">
        <f>SUM(B9:B15)</f>
        <v>441659</v>
      </c>
      <c r="C16" s="239">
        <f>SUM(C9:C15)</f>
        <v>798731</v>
      </c>
      <c r="D16" s="239">
        <f>SUM(D9:D15)</f>
        <v>-1829285</v>
      </c>
      <c r="E16" s="240">
        <f>(D16/C16)*100</f>
        <v>-229.02391418387418</v>
      </c>
      <c r="F16" s="13"/>
      <c r="G16" s="13"/>
    </row>
    <row r="17" spans="1:7" ht="13.5" thickTop="1" x14ac:dyDescent="0.2">
      <c r="A17" s="225"/>
      <c r="B17" s="225"/>
      <c r="C17" s="226"/>
      <c r="D17" s="226"/>
      <c r="E17" s="225"/>
      <c r="F17" s="13"/>
      <c r="G17" s="13"/>
    </row>
    <row r="18" spans="1:7" x14ac:dyDescent="0.2">
      <c r="A18" s="225"/>
      <c r="B18" s="225"/>
      <c r="C18" s="226"/>
      <c r="D18" s="226"/>
      <c r="E18" s="225"/>
      <c r="F18" s="13"/>
      <c r="G18" s="13"/>
    </row>
    <row r="19" spans="1:7" x14ac:dyDescent="0.2">
      <c r="A19" s="225"/>
      <c r="B19" s="225"/>
      <c r="C19" s="226"/>
      <c r="D19" s="226"/>
      <c r="E19" s="225"/>
      <c r="F19" s="13"/>
      <c r="G19" s="13"/>
    </row>
    <row r="20" spans="1:7" x14ac:dyDescent="0.2">
      <c r="A20" s="225"/>
      <c r="B20" s="225"/>
      <c r="C20" s="226"/>
      <c r="D20" s="226"/>
      <c r="E20" s="225"/>
      <c r="F20" s="13"/>
      <c r="G20" s="13"/>
    </row>
    <row r="21" spans="1:7" x14ac:dyDescent="0.2">
      <c r="A21" s="225"/>
      <c r="B21" s="225"/>
      <c r="C21" s="226"/>
      <c r="D21" s="226"/>
      <c r="E21" s="225"/>
      <c r="F21" s="13"/>
      <c r="G21" s="13"/>
    </row>
    <row r="22" spans="1:7" x14ac:dyDescent="0.2">
      <c r="A22" s="225"/>
      <c r="B22" s="225"/>
      <c r="C22" s="226"/>
      <c r="D22" s="226"/>
      <c r="E22" s="225"/>
      <c r="F22" s="13"/>
      <c r="G22" s="13"/>
    </row>
    <row r="23" spans="1:7" ht="25.5" customHeight="1" x14ac:dyDescent="0.2">
      <c r="A23" s="225"/>
      <c r="B23" s="225"/>
      <c r="C23" s="226"/>
      <c r="D23" s="226"/>
      <c r="E23" s="225"/>
      <c r="F23" s="13"/>
      <c r="G23" s="13"/>
    </row>
    <row r="24" spans="1:7" x14ac:dyDescent="0.2">
      <c r="A24" s="225"/>
      <c r="B24" s="225"/>
      <c r="C24" s="226"/>
      <c r="D24" s="226"/>
      <c r="E24" s="225"/>
    </row>
    <row r="30" spans="1:7" x14ac:dyDescent="0.2">
      <c r="C30" s="1"/>
      <c r="D30" s="1"/>
    </row>
  </sheetData>
  <mergeCells count="2">
    <mergeCell ref="A3:E4"/>
    <mergeCell ref="A1:E1"/>
  </mergeCells>
  <pageMargins left="0.98425196850393704" right="0" top="0.98425196850393704" bottom="0.98425196850393704" header="0.51181102362204722" footer="0.51181102362204722"/>
  <pageSetup paperSize="9" scale="85" firstPageNumber="7" orientation="portrait" cellComments="asDisplayed" useFirstPageNumber="1" r:id="rId1"/>
  <headerFooter alignWithMargins="0">
    <oddFooter xml:space="preserve">&amp;L&amp;"Arial CE,Kurzíva"Zastupitelstvo Olomouckého kraje 26. 9. 2022
9.4. - Rozpočet Olomouckého kraje 2022 - plnění rozpočtu k 30. 6. 2022
Příloha č. 2 - Plnění rozpočtu Olomouckého kraje k 30. 6. 2022&amp;R&amp;"Arial CE,Kurzíva"Strana &amp;P (Celkem 8)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U11"/>
  <sheetViews>
    <sheetView showGridLines="0" view="pageBreakPreview" zoomScale="110" zoomScaleNormal="100" zoomScaleSheetLayoutView="110" workbookViewId="0">
      <selection activeCell="A2" sqref="A2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5.5703125" customWidth="1"/>
  </cols>
  <sheetData>
    <row r="1" spans="1:21" ht="20.25" x14ac:dyDescent="0.3">
      <c r="A1" s="535" t="s">
        <v>156</v>
      </c>
      <c r="B1" s="535"/>
      <c r="C1" s="535"/>
      <c r="D1" s="535"/>
      <c r="E1" s="535"/>
      <c r="F1" s="535"/>
      <c r="G1" s="535"/>
      <c r="H1" s="535"/>
    </row>
    <row r="2" spans="1:21" s="93" customFormat="1" ht="15.75" x14ac:dyDescent="0.25">
      <c r="A2" s="94"/>
      <c r="B2" s="91"/>
      <c r="C2" s="91"/>
      <c r="D2" s="91"/>
      <c r="E2" s="92"/>
      <c r="F2" s="92"/>
      <c r="G2" s="92"/>
      <c r="H2" s="92"/>
    </row>
    <row r="3" spans="1:21" s="93" customFormat="1" ht="14.25" customHeight="1" x14ac:dyDescent="0.25">
      <c r="A3" s="95"/>
      <c r="B3" s="91"/>
      <c r="C3" s="91"/>
      <c r="D3" s="91"/>
      <c r="E3" s="92"/>
      <c r="F3" s="92"/>
      <c r="G3" s="92"/>
      <c r="H3" s="4"/>
    </row>
    <row r="4" spans="1:21" s="93" customFormat="1" ht="14.25" customHeight="1" thickBot="1" x14ac:dyDescent="0.3">
      <c r="A4" s="95"/>
      <c r="B4" s="91"/>
      <c r="C4" s="91"/>
      <c r="D4" s="91"/>
      <c r="E4" s="92"/>
      <c r="F4" s="92"/>
      <c r="G4" s="536" t="s">
        <v>73</v>
      </c>
      <c r="H4" s="536"/>
    </row>
    <row r="5" spans="1:21" s="93" customFormat="1" ht="14.25" customHeight="1" thickTop="1" thickBot="1" x14ac:dyDescent="0.25">
      <c r="A5" s="275"/>
      <c r="B5" s="276"/>
      <c r="C5" s="276"/>
      <c r="D5" s="277"/>
      <c r="E5" s="264" t="s">
        <v>11</v>
      </c>
      <c r="F5" s="264" t="s">
        <v>12</v>
      </c>
      <c r="G5" s="264" t="s">
        <v>4</v>
      </c>
      <c r="H5" s="267" t="s">
        <v>5</v>
      </c>
    </row>
    <row r="6" spans="1:21" s="93" customFormat="1" ht="14.25" customHeight="1" thickTop="1" thickBot="1" x14ac:dyDescent="0.25">
      <c r="A6" s="532">
        <v>1</v>
      </c>
      <c r="B6" s="533"/>
      <c r="C6" s="533"/>
      <c r="D6" s="534"/>
      <c r="E6" s="278">
        <v>2</v>
      </c>
      <c r="F6" s="278">
        <v>3</v>
      </c>
      <c r="G6" s="278">
        <v>4</v>
      </c>
      <c r="H6" s="279" t="s">
        <v>95</v>
      </c>
    </row>
    <row r="7" spans="1:21" s="96" customFormat="1" ht="19.5" thickTop="1" x14ac:dyDescent="0.4">
      <c r="A7" s="280" t="s">
        <v>38</v>
      </c>
      <c r="B7" s="281"/>
      <c r="C7" s="281"/>
      <c r="D7" s="282"/>
      <c r="E7" s="283">
        <f>'Příjmy OK - příloha č. 2'!B15</f>
        <v>5910855</v>
      </c>
      <c r="F7" s="283">
        <f>'Příjmy OK - příloha č. 2'!C15</f>
        <v>19080296</v>
      </c>
      <c r="G7" s="283">
        <f>'Příjmy OK - příloha č. 2'!D15</f>
        <v>12548833</v>
      </c>
      <c r="H7" s="284">
        <f>(G7/F7)*100</f>
        <v>65.768544680858199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1" s="96" customFormat="1" ht="18.75" x14ac:dyDescent="0.4">
      <c r="A8" s="285" t="s">
        <v>39</v>
      </c>
      <c r="B8" s="286"/>
      <c r="C8" s="286"/>
      <c r="D8" s="287"/>
      <c r="E8" s="288">
        <f>'Výdaje OK - příloha č. 2'!C108</f>
        <v>6352514</v>
      </c>
      <c r="F8" s="288">
        <f>'Výdaje OK - příloha č. 2'!D108</f>
        <v>19879027</v>
      </c>
      <c r="G8" s="288">
        <f>'Výdaje OK - příloha č. 2'!E108</f>
        <v>10719548</v>
      </c>
      <c r="H8" s="289">
        <f>(G8/F8)*100</f>
        <v>53.92390683910233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1" s="96" customFormat="1" ht="18.75" x14ac:dyDescent="0.4">
      <c r="A9" s="285" t="s">
        <v>88</v>
      </c>
      <c r="B9" s="286"/>
      <c r="C9" s="286"/>
      <c r="D9" s="287"/>
      <c r="E9" s="288">
        <f>'Financování OK - příloha č. 2'!B16</f>
        <v>441659</v>
      </c>
      <c r="F9" s="288">
        <f>'Financování OK - příloha č. 2'!C16</f>
        <v>798731</v>
      </c>
      <c r="G9" s="288">
        <f>'Financování OK - příloha č. 2'!D16</f>
        <v>-1829285</v>
      </c>
      <c r="H9" s="289">
        <f>(G9/F9)*100</f>
        <v>-229.02391418387418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1" s="96" customFormat="1" ht="21.75" customHeight="1" thickBot="1" x14ac:dyDescent="0.3">
      <c r="A10" s="290" t="s">
        <v>92</v>
      </c>
      <c r="B10" s="291"/>
      <c r="C10" s="291"/>
      <c r="D10" s="291"/>
      <c r="E10" s="292"/>
      <c r="F10" s="293"/>
      <c r="G10" s="294">
        <f>G7-G8</f>
        <v>1829285</v>
      </c>
      <c r="H10" s="295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1" ht="13.5" thickTop="1" x14ac:dyDescent="0.2"/>
  </sheetData>
  <mergeCells count="3">
    <mergeCell ref="A6:D6"/>
    <mergeCell ref="A1:H1"/>
    <mergeCell ref="G4:H4"/>
  </mergeCells>
  <phoneticPr fontId="5" type="noConversion"/>
  <pageMargins left="0.59055118110236227" right="0.59055118110236227" top="0.78740157480314965" bottom="0.78740157480314965" header="0.51181102362204722" footer="0.51181102362204722"/>
  <pageSetup paperSize="9" scale="80" firstPageNumber="8" orientation="portrait" useFirstPageNumber="1" r:id="rId1"/>
  <headerFooter alignWithMargins="0">
    <oddFooter xml:space="preserve">&amp;L&amp;"Arial CE,Kurzíva"Zastupitelstvo Olomouckého kraje 26. 9. 2022
9.4. - Rozpočet Olomouckého kraje 2022 - plnění rozpočtu k 30. 6. 2022
Příloha č.2 - Plnění rozpočtu Olomouckého kraje k 30. 6. 2022&amp;R&amp;"Arial CE,Kurzíva"Strana &amp;P (Celkem 8)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ColWidth="9.140625" defaultRowHeight="14.25" x14ac:dyDescent="0.2"/>
  <cols>
    <col min="1" max="1" width="39.42578125" style="22" customWidth="1"/>
    <col min="2" max="2" width="5.140625" style="112" customWidth="1"/>
    <col min="3" max="3" width="14.85546875" style="20" customWidth="1"/>
    <col min="4" max="5" width="16" style="20" customWidth="1"/>
    <col min="6" max="6" width="8.42578125" style="20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517" t="s">
        <v>74</v>
      </c>
      <c r="B1" s="537"/>
      <c r="C1" s="537"/>
      <c r="D1" s="537"/>
      <c r="E1" s="537"/>
      <c r="F1" s="537"/>
      <c r="G1" s="176"/>
      <c r="H1" s="176"/>
      <c r="I1" s="176"/>
      <c r="K1" s="16"/>
    </row>
    <row r="2" spans="1:14" ht="15" thickBot="1" x14ac:dyDescent="0.25">
      <c r="F2" s="23" t="s">
        <v>0</v>
      </c>
      <c r="G2" s="23"/>
      <c r="H2" s="23"/>
      <c r="I2" s="23"/>
    </row>
    <row r="3" spans="1:14" s="25" customFormat="1" thickTop="1" thickBot="1" x14ac:dyDescent="0.25">
      <c r="A3" s="158" t="s">
        <v>9</v>
      </c>
      <c r="B3" s="159" t="s">
        <v>10</v>
      </c>
      <c r="C3" s="160" t="s">
        <v>11</v>
      </c>
      <c r="D3" s="160" t="s">
        <v>12</v>
      </c>
      <c r="E3" s="160" t="s">
        <v>4</v>
      </c>
      <c r="F3" s="161" t="s">
        <v>5</v>
      </c>
      <c r="G3" s="24"/>
      <c r="H3" s="24"/>
      <c r="I3" s="24"/>
      <c r="J3" s="73"/>
      <c r="K3" s="66"/>
      <c r="N3" s="26"/>
    </row>
    <row r="4" spans="1:14" s="35" customFormat="1" ht="15.75" thickTop="1" x14ac:dyDescent="0.25">
      <c r="A4" s="212" t="s">
        <v>18</v>
      </c>
      <c r="B4" s="113">
        <v>3</v>
      </c>
      <c r="C4" s="86">
        <f>C5+C6+C7+C8+C9</f>
        <v>299231</v>
      </c>
      <c r="D4" s="86">
        <f>D5+D6+D7+D8+D9</f>
        <v>303137</v>
      </c>
      <c r="E4" s="86">
        <f>E5+E6+E7+E8+E9</f>
        <v>187892</v>
      </c>
      <c r="F4" s="213">
        <f t="shared" ref="F4:F9" si="0">(E4/D4)*100</f>
        <v>61.982535949092323</v>
      </c>
      <c r="G4" s="27"/>
      <c r="H4" s="27"/>
      <c r="I4" s="27"/>
      <c r="J4" s="27"/>
      <c r="K4" s="67"/>
      <c r="N4" s="36"/>
    </row>
    <row r="5" spans="1:14" s="35" customFormat="1" x14ac:dyDescent="0.2">
      <c r="A5" s="214" t="s">
        <v>14</v>
      </c>
      <c r="B5" s="37"/>
      <c r="C5" s="30">
        <v>291081</v>
      </c>
      <c r="D5" s="30">
        <v>293591</v>
      </c>
      <c r="E5" s="30">
        <v>183624</v>
      </c>
      <c r="F5" s="215">
        <f t="shared" si="0"/>
        <v>62.544151557779358</v>
      </c>
      <c r="G5" s="31"/>
      <c r="H5" s="31"/>
      <c r="I5" s="31"/>
      <c r="J5" s="31"/>
      <c r="K5" s="55"/>
      <c r="N5" s="36"/>
    </row>
    <row r="6" spans="1:14" s="35" customFormat="1" x14ac:dyDescent="0.2">
      <c r="A6" s="214" t="s">
        <v>15</v>
      </c>
      <c r="B6" s="37"/>
      <c r="C6" s="30">
        <v>2200</v>
      </c>
      <c r="D6" s="30">
        <v>2480</v>
      </c>
      <c r="E6" s="30">
        <v>123</v>
      </c>
      <c r="F6" s="215">
        <f t="shared" si="0"/>
        <v>4.959677419354839</v>
      </c>
      <c r="G6" s="31"/>
      <c r="H6" s="31"/>
      <c r="I6" s="31"/>
      <c r="J6" s="31"/>
      <c r="K6" s="55"/>
      <c r="N6" s="36"/>
    </row>
    <row r="7" spans="1:14" s="32" customFormat="1" x14ac:dyDescent="0.2">
      <c r="A7" s="216" t="s">
        <v>16</v>
      </c>
      <c r="B7" s="29"/>
      <c r="C7" s="30">
        <v>0</v>
      </c>
      <c r="D7" s="30">
        <v>1116</v>
      </c>
      <c r="E7" s="30">
        <v>310</v>
      </c>
      <c r="F7" s="215">
        <f t="shared" si="0"/>
        <v>27.777777777777779</v>
      </c>
      <c r="G7" s="31"/>
      <c r="H7" s="88">
        <f>D7+D8</f>
        <v>1116</v>
      </c>
      <c r="I7" s="88">
        <f>E7+E8</f>
        <v>310</v>
      </c>
      <c r="J7" s="88"/>
      <c r="K7" s="55"/>
      <c r="N7" s="33"/>
    </row>
    <row r="8" spans="1:14" s="32" customFormat="1" x14ac:dyDescent="0.2">
      <c r="A8" s="216" t="s">
        <v>17</v>
      </c>
      <c r="B8" s="29"/>
      <c r="C8" s="30">
        <v>0</v>
      </c>
      <c r="D8" s="30">
        <v>0</v>
      </c>
      <c r="E8" s="30">
        <v>0</v>
      </c>
      <c r="F8" s="215">
        <v>0</v>
      </c>
      <c r="G8" s="31"/>
      <c r="H8" s="31"/>
      <c r="I8" s="31"/>
      <c r="J8" s="31"/>
      <c r="K8" s="55"/>
      <c r="N8" s="33"/>
    </row>
    <row r="9" spans="1:14" s="32" customFormat="1" ht="15" thickBot="1" x14ac:dyDescent="0.25">
      <c r="A9" s="217" t="s">
        <v>43</v>
      </c>
      <c r="B9" s="218"/>
      <c r="C9" s="219">
        <v>5950</v>
      </c>
      <c r="D9" s="219">
        <v>5950</v>
      </c>
      <c r="E9" s="219">
        <v>3835</v>
      </c>
      <c r="F9" s="220">
        <f t="shared" si="0"/>
        <v>64.453781512605048</v>
      </c>
      <c r="G9" s="31"/>
      <c r="H9" s="31"/>
      <c r="I9" s="31"/>
      <c r="J9" s="31"/>
      <c r="K9" s="55"/>
      <c r="N9" s="33"/>
    </row>
    <row r="10" spans="1:14" s="32" customFormat="1" ht="12.75" customHeight="1" x14ac:dyDescent="0.2">
      <c r="A10" s="39"/>
      <c r="B10" s="40"/>
      <c r="E10" s="167" t="e">
        <f>SUM(#REF!,#REF!,#REF!,#REF!,#REF!,#REF!,E4,#REF!,#REF!)</f>
        <v>#REF!</v>
      </c>
      <c r="F10" s="42"/>
      <c r="G10" s="42"/>
      <c r="H10" s="42"/>
      <c r="I10" s="42"/>
      <c r="J10" s="70"/>
      <c r="K10" s="46"/>
      <c r="N10" s="33"/>
    </row>
    <row r="11" spans="1:14" s="32" customFormat="1" ht="12.75" customHeight="1" x14ac:dyDescent="0.2">
      <c r="A11" s="39"/>
      <c r="B11" s="40"/>
      <c r="C11" s="47"/>
      <c r="D11" s="43"/>
      <c r="E11" s="167" t="e">
        <f>SUM(#REF!,#REF!,#REF!,#REF!,#REF!,#REF!,C4,#REF!,#REF!)</f>
        <v>#REF!</v>
      </c>
      <c r="F11" s="43"/>
      <c r="G11" s="42"/>
      <c r="H11" s="42"/>
      <c r="I11" s="42"/>
      <c r="J11" s="70"/>
      <c r="K11" s="46"/>
      <c r="N11" s="33"/>
    </row>
    <row r="12" spans="1:14" s="32" customFormat="1" ht="12.75" customHeight="1" x14ac:dyDescent="0.2">
      <c r="A12" s="39"/>
      <c r="B12" s="40"/>
      <c r="C12" s="47"/>
      <c r="D12" s="43"/>
      <c r="E12" s="43"/>
      <c r="F12" s="42"/>
      <c r="G12" s="42"/>
      <c r="H12" s="42"/>
      <c r="I12" s="42"/>
      <c r="J12" s="70"/>
      <c r="K12" s="46"/>
      <c r="N12" s="33"/>
    </row>
    <row r="13" spans="1:14" s="32" customFormat="1" ht="12.75" customHeight="1" x14ac:dyDescent="0.2">
      <c r="A13" s="39"/>
      <c r="B13" s="40"/>
      <c r="C13" s="45"/>
      <c r="D13" s="43"/>
      <c r="E13" s="43"/>
      <c r="F13" s="42"/>
      <c r="G13" s="42"/>
      <c r="H13" s="42"/>
      <c r="I13" s="42"/>
      <c r="J13" s="70"/>
      <c r="K13" s="46"/>
      <c r="N13" s="33"/>
    </row>
    <row r="14" spans="1:14" s="53" customFormat="1" ht="12.75" customHeight="1" x14ac:dyDescent="0.2">
      <c r="A14" s="39"/>
      <c r="B14" s="40"/>
      <c r="C14" s="45"/>
      <c r="D14" s="43"/>
      <c r="E14" s="43"/>
      <c r="F14" s="42"/>
      <c r="G14" s="42"/>
      <c r="H14" s="42"/>
      <c r="I14" s="42"/>
      <c r="J14" s="70"/>
      <c r="K14" s="46"/>
      <c r="N14" s="54"/>
    </row>
    <row r="15" spans="1:14" s="53" customFormat="1" ht="12.75" customHeight="1" x14ac:dyDescent="0.2">
      <c r="A15" s="39"/>
      <c r="B15" s="40"/>
      <c r="C15" s="45"/>
      <c r="D15" s="128"/>
      <c r="E15" s="128"/>
      <c r="F15" s="42"/>
      <c r="G15" s="42"/>
      <c r="H15" s="42"/>
      <c r="I15" s="42"/>
      <c r="J15" s="70"/>
      <c r="K15" s="46"/>
      <c r="N15" s="54"/>
    </row>
    <row r="16" spans="1:14" s="53" customFormat="1" ht="12.75" customHeight="1" x14ac:dyDescent="0.2">
      <c r="A16" s="39"/>
      <c r="B16" s="40"/>
      <c r="C16" s="45"/>
      <c r="D16" s="128"/>
      <c r="E16" s="128"/>
      <c r="F16" s="42"/>
      <c r="G16" s="42"/>
      <c r="H16" s="42"/>
      <c r="I16" s="42"/>
      <c r="J16" s="70"/>
      <c r="K16" s="46"/>
      <c r="N16" s="54"/>
    </row>
    <row r="17" spans="1:14" s="78" customFormat="1" ht="24" customHeight="1" x14ac:dyDescent="0.25">
      <c r="A17" s="194"/>
      <c r="B17" s="194"/>
      <c r="C17" s="195"/>
      <c r="D17" s="196"/>
      <c r="E17" s="195"/>
      <c r="F17" s="197"/>
      <c r="G17" s="27"/>
      <c r="H17" s="27"/>
      <c r="I17" s="27"/>
      <c r="J17" s="74"/>
      <c r="K17" s="71"/>
      <c r="L17" s="43"/>
      <c r="N17" s="79"/>
    </row>
    <row r="18" spans="1:14" s="78" customFormat="1" ht="18" x14ac:dyDescent="0.25">
      <c r="A18" s="198"/>
      <c r="B18" s="199"/>
      <c r="C18" s="200"/>
      <c r="D18" s="200"/>
      <c r="E18" s="200"/>
      <c r="F18" s="197"/>
      <c r="G18" s="27"/>
      <c r="H18" s="27"/>
      <c r="I18" s="27"/>
      <c r="J18" s="75"/>
      <c r="K18" s="72"/>
      <c r="L18" s="41"/>
      <c r="N18" s="79"/>
    </row>
    <row r="19" spans="1:14" s="78" customFormat="1" ht="15" hidden="1" thickTop="1" x14ac:dyDescent="0.2">
      <c r="A19" s="177"/>
      <c r="B19" s="40"/>
      <c r="C19" s="178"/>
      <c r="D19" s="178"/>
      <c r="E19" s="178"/>
      <c r="F19" s="179"/>
      <c r="G19" s="179"/>
      <c r="H19" s="179"/>
      <c r="I19" s="179"/>
      <c r="J19" s="70"/>
      <c r="K19" s="68"/>
      <c r="L19" s="180"/>
      <c r="N19" s="79"/>
    </row>
    <row r="20" spans="1:14" s="78" customFormat="1" ht="15" hidden="1" thickTop="1" x14ac:dyDescent="0.2">
      <c r="A20" s="177"/>
      <c r="B20" s="40"/>
      <c r="C20" s="178"/>
      <c r="D20" s="178"/>
      <c r="E20" s="178"/>
      <c r="F20" s="179"/>
      <c r="G20" s="179"/>
      <c r="H20" s="179"/>
      <c r="I20" s="179"/>
      <c r="J20" s="70"/>
      <c r="K20" s="68"/>
      <c r="L20" s="180"/>
      <c r="N20" s="79"/>
    </row>
    <row r="21" spans="1:14" s="78" customFormat="1" ht="15" hidden="1" thickTop="1" x14ac:dyDescent="0.2">
      <c r="A21" s="177"/>
      <c r="B21" s="40"/>
      <c r="C21" s="178"/>
      <c r="D21" s="178"/>
      <c r="E21" s="178"/>
      <c r="F21" s="179"/>
      <c r="G21" s="179"/>
      <c r="H21" s="179"/>
      <c r="I21" s="179"/>
      <c r="J21" s="70"/>
      <c r="K21" s="68"/>
      <c r="L21" s="180"/>
      <c r="N21" s="79"/>
    </row>
    <row r="22" spans="1:14" s="78" customFormat="1" ht="15.75" hidden="1" thickTop="1" x14ac:dyDescent="0.25">
      <c r="A22" s="177"/>
      <c r="B22" s="40"/>
      <c r="C22" s="181"/>
      <c r="D22" s="181"/>
      <c r="E22" s="181"/>
      <c r="F22" s="182"/>
      <c r="G22" s="182"/>
      <c r="H22" s="182"/>
      <c r="I22" s="182"/>
      <c r="J22" s="70"/>
      <c r="K22" s="67"/>
      <c r="L22" s="180"/>
      <c r="N22" s="79"/>
    </row>
    <row r="23" spans="1:14" s="78" customFormat="1" ht="15" hidden="1" thickTop="1" x14ac:dyDescent="0.2">
      <c r="A23" s="177"/>
      <c r="B23" s="40"/>
      <c r="C23" s="178"/>
      <c r="D23" s="178"/>
      <c r="E23" s="178"/>
      <c r="F23" s="179"/>
      <c r="G23" s="179"/>
      <c r="H23" s="179"/>
      <c r="I23" s="179"/>
      <c r="J23" s="70"/>
      <c r="K23" s="68"/>
      <c r="L23" s="180"/>
      <c r="N23" s="79"/>
    </row>
    <row r="24" spans="1:14" s="78" customFormat="1" ht="15" hidden="1" thickTop="1" x14ac:dyDescent="0.2">
      <c r="A24" s="177"/>
      <c r="B24" s="40"/>
      <c r="C24" s="178"/>
      <c r="D24" s="178"/>
      <c r="E24" s="178"/>
      <c r="F24" s="179"/>
      <c r="G24" s="179"/>
      <c r="H24" s="179"/>
      <c r="I24" s="179"/>
      <c r="J24" s="70"/>
      <c r="K24" s="68"/>
      <c r="L24" s="180"/>
      <c r="N24" s="79"/>
    </row>
    <row r="25" spans="1:14" s="78" customFormat="1" ht="15.75" hidden="1" thickTop="1" x14ac:dyDescent="0.25">
      <c r="A25" s="177"/>
      <c r="B25" s="40"/>
      <c r="C25" s="183"/>
      <c r="D25" s="183"/>
      <c r="E25" s="183"/>
      <c r="F25" s="178"/>
      <c r="G25" s="178"/>
      <c r="H25" s="178"/>
      <c r="I25" s="178"/>
      <c r="J25" s="70"/>
      <c r="K25" s="184"/>
      <c r="L25" s="180"/>
      <c r="N25" s="79"/>
    </row>
    <row r="26" spans="1:14" s="78" customFormat="1" ht="15" hidden="1" thickTop="1" x14ac:dyDescent="0.2">
      <c r="A26" s="177"/>
      <c r="B26" s="40"/>
      <c r="C26" s="185"/>
      <c r="D26" s="185"/>
      <c r="E26" s="185"/>
      <c r="F26" s="178"/>
      <c r="G26" s="178"/>
      <c r="H26" s="178"/>
      <c r="I26" s="178"/>
      <c r="J26" s="70"/>
      <c r="K26" s="186"/>
      <c r="L26" s="180"/>
      <c r="N26" s="79"/>
    </row>
    <row r="27" spans="1:14" s="78" customFormat="1" ht="18.75" hidden="1" thickTop="1" x14ac:dyDescent="0.25">
      <c r="A27" s="58"/>
      <c r="B27" s="59"/>
      <c r="C27" s="60"/>
      <c r="D27" s="60"/>
      <c r="E27" s="60"/>
      <c r="F27" s="61"/>
      <c r="G27" s="61"/>
      <c r="H27" s="61"/>
      <c r="I27" s="61"/>
      <c r="J27" s="70"/>
      <c r="K27" s="62"/>
      <c r="L27" s="180"/>
      <c r="N27" s="79"/>
    </row>
    <row r="28" spans="1:14" s="78" customFormat="1" ht="18" x14ac:dyDescent="0.25">
      <c r="A28" s="58"/>
      <c r="B28" s="59"/>
      <c r="C28" s="60"/>
      <c r="D28" s="60"/>
      <c r="E28" s="60"/>
      <c r="F28" s="63"/>
      <c r="G28" s="63"/>
      <c r="H28" s="63"/>
      <c r="I28" s="63"/>
      <c r="J28" s="70"/>
      <c r="K28" s="62"/>
      <c r="L28" s="180"/>
      <c r="N28" s="79"/>
    </row>
    <row r="29" spans="1:14" s="78" customFormat="1" ht="12.75" x14ac:dyDescent="0.2">
      <c r="A29" s="538"/>
      <c r="B29" s="539"/>
      <c r="C29" s="539"/>
      <c r="D29" s="539"/>
      <c r="E29" s="539"/>
      <c r="F29" s="539"/>
      <c r="G29" s="64"/>
      <c r="H29" s="64"/>
      <c r="I29" s="64"/>
      <c r="J29" s="70"/>
      <c r="K29" s="65"/>
      <c r="L29" s="180"/>
      <c r="N29" s="79"/>
    </row>
    <row r="30" spans="1:14" s="78" customFormat="1" ht="12.75" x14ac:dyDescent="0.2">
      <c r="A30" s="539"/>
      <c r="B30" s="539"/>
      <c r="C30" s="539"/>
      <c r="D30" s="539"/>
      <c r="E30" s="539"/>
      <c r="F30" s="539"/>
      <c r="G30" s="64"/>
      <c r="H30" s="64"/>
      <c r="I30" s="64"/>
      <c r="J30" s="70"/>
      <c r="K30" s="65"/>
      <c r="L30" s="180"/>
      <c r="N30" s="79"/>
    </row>
    <row r="31" spans="1:14" s="78" customFormat="1" hidden="1" x14ac:dyDescent="0.2">
      <c r="A31" s="177"/>
      <c r="B31" s="40"/>
      <c r="C31" s="178"/>
      <c r="D31" s="178"/>
      <c r="E31" s="178"/>
      <c r="F31" s="178"/>
      <c r="G31" s="178"/>
      <c r="H31" s="178"/>
      <c r="I31" s="178"/>
      <c r="J31" s="70"/>
      <c r="K31" s="68"/>
      <c r="L31" s="43"/>
      <c r="N31" s="79"/>
    </row>
    <row r="32" spans="1:14" s="78" customFormat="1" hidden="1" x14ac:dyDescent="0.2">
      <c r="A32" s="49"/>
      <c r="B32" s="40"/>
      <c r="C32" s="178"/>
      <c r="D32" s="178"/>
      <c r="E32" s="178"/>
      <c r="F32" s="178"/>
      <c r="G32" s="178"/>
      <c r="H32" s="178"/>
      <c r="I32" s="178"/>
      <c r="J32" s="70"/>
      <c r="K32" s="68"/>
      <c r="N32" s="79"/>
    </row>
    <row r="33" spans="1:14" s="78" customFormat="1" hidden="1" x14ac:dyDescent="0.2">
      <c r="A33" s="28"/>
      <c r="B33" s="40"/>
      <c r="C33" s="178"/>
      <c r="D33" s="178"/>
      <c r="E33" s="178"/>
      <c r="F33" s="178"/>
      <c r="G33" s="178"/>
      <c r="H33" s="178"/>
      <c r="I33" s="178"/>
      <c r="J33" s="70"/>
      <c r="K33" s="68"/>
      <c r="N33" s="79"/>
    </row>
    <row r="34" spans="1:14" s="78" customFormat="1" hidden="1" x14ac:dyDescent="0.2">
      <c r="A34" s="34"/>
      <c r="B34" s="40"/>
      <c r="C34" s="178"/>
      <c r="D34" s="178"/>
      <c r="E34" s="178"/>
      <c r="F34" s="178"/>
      <c r="G34" s="178"/>
      <c r="H34" s="178"/>
      <c r="I34" s="178"/>
      <c r="J34" s="70"/>
      <c r="K34" s="68"/>
      <c r="N34" s="79"/>
    </row>
    <row r="35" spans="1:14" s="78" customFormat="1" hidden="1" x14ac:dyDescent="0.2">
      <c r="A35" s="50"/>
      <c r="B35" s="40"/>
      <c r="C35" s="178"/>
      <c r="D35" s="178"/>
      <c r="E35" s="178"/>
      <c r="F35" s="178"/>
      <c r="G35" s="178"/>
      <c r="H35" s="178"/>
      <c r="I35" s="178"/>
      <c r="J35" s="70"/>
      <c r="K35" s="68"/>
      <c r="N35" s="79"/>
    </row>
    <row r="36" spans="1:14" s="78" customFormat="1" hidden="1" x14ac:dyDescent="0.2">
      <c r="A36" s="51"/>
      <c r="B36" s="40"/>
      <c r="C36" s="178"/>
      <c r="D36" s="178"/>
      <c r="E36" s="178"/>
      <c r="F36" s="178"/>
      <c r="G36" s="178"/>
      <c r="H36" s="178"/>
      <c r="I36" s="178"/>
      <c r="J36" s="70"/>
      <c r="K36" s="68"/>
      <c r="N36" s="79"/>
    </row>
    <row r="37" spans="1:14" s="78" customFormat="1" hidden="1" x14ac:dyDescent="0.2">
      <c r="A37" s="49"/>
      <c r="B37" s="40"/>
      <c r="C37" s="178"/>
      <c r="D37" s="178"/>
      <c r="E37" s="178"/>
      <c r="F37" s="178"/>
      <c r="G37" s="178"/>
      <c r="H37" s="178"/>
      <c r="I37" s="178"/>
      <c r="J37" s="70"/>
      <c r="K37" s="68"/>
      <c r="N37" s="79"/>
    </row>
    <row r="38" spans="1:14" s="78" customFormat="1" hidden="1" x14ac:dyDescent="0.2">
      <c r="A38" s="28"/>
      <c r="B38" s="40"/>
      <c r="C38" s="178"/>
      <c r="D38" s="178"/>
      <c r="E38" s="178"/>
      <c r="F38" s="178"/>
      <c r="G38" s="178"/>
      <c r="H38" s="178"/>
      <c r="I38" s="178"/>
      <c r="J38" s="70"/>
      <c r="K38" s="68"/>
      <c r="N38" s="79"/>
    </row>
    <row r="39" spans="1:14" s="78" customFormat="1" hidden="1" x14ac:dyDescent="0.2">
      <c r="A39" s="50"/>
      <c r="B39" s="40"/>
      <c r="C39" s="178"/>
      <c r="D39" s="178"/>
      <c r="E39" s="178"/>
      <c r="F39" s="178"/>
      <c r="G39" s="178"/>
      <c r="H39" s="178"/>
      <c r="I39" s="178"/>
      <c r="J39" s="70"/>
      <c r="K39" s="68"/>
      <c r="N39" s="79"/>
    </row>
    <row r="40" spans="1:14" s="78" customFormat="1" hidden="1" x14ac:dyDescent="0.2">
      <c r="A40" s="38"/>
      <c r="B40" s="40"/>
      <c r="C40" s="178"/>
      <c r="D40" s="178"/>
      <c r="E40" s="178"/>
      <c r="F40" s="178"/>
      <c r="G40" s="178"/>
      <c r="H40" s="178"/>
      <c r="I40" s="178"/>
      <c r="J40" s="70"/>
      <c r="K40" s="68"/>
      <c r="N40" s="79"/>
    </row>
    <row r="41" spans="1:14" s="78" customFormat="1" hidden="1" x14ac:dyDescent="0.2">
      <c r="A41" s="177"/>
      <c r="B41" s="40"/>
      <c r="C41" s="178"/>
      <c r="D41" s="178"/>
      <c r="E41" s="178"/>
      <c r="F41" s="178"/>
      <c r="G41" s="178"/>
      <c r="H41" s="178"/>
      <c r="I41" s="178"/>
      <c r="J41" s="70"/>
      <c r="K41" s="68"/>
      <c r="N41" s="79"/>
    </row>
    <row r="42" spans="1:14" s="78" customFormat="1" hidden="1" x14ac:dyDescent="0.2">
      <c r="A42" s="177"/>
      <c r="B42" s="40"/>
      <c r="C42" s="178"/>
      <c r="D42" s="178"/>
      <c r="E42" s="178"/>
      <c r="F42" s="178"/>
      <c r="G42" s="178"/>
      <c r="H42" s="178"/>
      <c r="I42" s="178"/>
      <c r="J42" s="70"/>
      <c r="K42" s="68"/>
      <c r="N42" s="79"/>
    </row>
    <row r="43" spans="1:14" s="78" customFormat="1" x14ac:dyDescent="0.2">
      <c r="A43" s="177"/>
      <c r="B43" s="40"/>
      <c r="C43" s="178"/>
      <c r="D43" s="178"/>
      <c r="E43" s="178"/>
      <c r="F43" s="178"/>
      <c r="G43" s="178"/>
      <c r="H43" s="178"/>
      <c r="I43" s="178"/>
      <c r="J43" s="70"/>
      <c r="K43" s="68"/>
      <c r="N43" s="79"/>
    </row>
    <row r="44" spans="1:14" s="78" customFormat="1" ht="15" x14ac:dyDescent="0.25">
      <c r="A44" s="201"/>
      <c r="B44" s="40"/>
      <c r="C44" s="178"/>
      <c r="D44" s="178"/>
      <c r="E44" s="178"/>
      <c r="F44" s="187"/>
      <c r="G44" s="178"/>
      <c r="H44" s="178"/>
      <c r="I44" s="178"/>
      <c r="J44" s="70"/>
      <c r="K44" s="68"/>
      <c r="N44" s="79"/>
    </row>
    <row r="45" spans="1:14" s="188" customFormat="1" ht="12.75" x14ac:dyDescent="0.2">
      <c r="A45" s="202"/>
      <c r="B45" s="203"/>
      <c r="C45" s="204"/>
      <c r="D45" s="204"/>
      <c r="E45" s="204"/>
      <c r="F45" s="205"/>
      <c r="G45" s="24"/>
      <c r="H45" s="24"/>
      <c r="I45" s="24"/>
      <c r="J45" s="175"/>
      <c r="K45" s="66"/>
      <c r="N45" s="189"/>
    </row>
    <row r="46" spans="1:14" s="188" customFormat="1" ht="12.75" x14ac:dyDescent="0.2">
      <c r="A46" s="206"/>
      <c r="B46" s="207"/>
      <c r="C46" s="207"/>
      <c r="D46" s="207"/>
      <c r="E46" s="207"/>
      <c r="F46" s="205"/>
      <c r="G46" s="24"/>
      <c r="H46" s="24"/>
      <c r="I46" s="24"/>
      <c r="J46" s="73"/>
      <c r="K46" s="66"/>
      <c r="N46" s="189"/>
    </row>
    <row r="47" spans="1:14" s="78" customFormat="1" x14ac:dyDescent="0.2">
      <c r="A47" s="177"/>
      <c r="B47" s="40"/>
      <c r="C47" s="178"/>
      <c r="D47" s="88"/>
      <c r="E47" s="88"/>
      <c r="F47" s="208"/>
      <c r="H47" s="180"/>
      <c r="I47" s="180"/>
      <c r="J47" s="180"/>
      <c r="K47" s="68"/>
      <c r="N47" s="79"/>
    </row>
    <row r="48" spans="1:14" s="78" customFormat="1" x14ac:dyDescent="0.2">
      <c r="A48" s="540"/>
      <c r="B48" s="40"/>
      <c r="C48" s="88"/>
      <c r="D48" s="168"/>
      <c r="E48" s="88"/>
      <c r="F48" s="208"/>
      <c r="H48" s="190"/>
      <c r="I48" s="190"/>
      <c r="J48" s="190"/>
      <c r="K48" s="68"/>
      <c r="N48" s="79"/>
    </row>
    <row r="49" spans="1:14" s="78" customFormat="1" x14ac:dyDescent="0.2">
      <c r="A49" s="540"/>
      <c r="B49" s="40"/>
      <c r="C49" s="88"/>
      <c r="D49" s="88"/>
      <c r="E49" s="88"/>
      <c r="F49" s="208"/>
      <c r="H49" s="191"/>
      <c r="I49" s="178"/>
      <c r="J49" s="41"/>
      <c r="K49" s="55"/>
      <c r="N49" s="79"/>
    </row>
    <row r="50" spans="1:14" s="78" customFormat="1" x14ac:dyDescent="0.2">
      <c r="A50" s="209"/>
      <c r="B50" s="40"/>
      <c r="C50" s="88"/>
      <c r="D50" s="168"/>
      <c r="E50" s="88"/>
      <c r="F50" s="208"/>
      <c r="I50" s="192"/>
      <c r="J50" s="192"/>
      <c r="K50" s="68"/>
      <c r="N50" s="79"/>
    </row>
    <row r="51" spans="1:14" s="78" customFormat="1" x14ac:dyDescent="0.2">
      <c r="A51" s="210"/>
      <c r="B51" s="40"/>
      <c r="C51" s="88"/>
      <c r="D51" s="168"/>
      <c r="E51" s="88"/>
      <c r="F51" s="208"/>
      <c r="I51" s="178"/>
      <c r="J51" s="193"/>
      <c r="K51" s="68"/>
      <c r="N51" s="79"/>
    </row>
    <row r="52" spans="1:14" s="78" customFormat="1" x14ac:dyDescent="0.2">
      <c r="A52" s="211"/>
      <c r="B52" s="40"/>
      <c r="C52" s="88"/>
      <c r="D52" s="168"/>
      <c r="E52" s="88"/>
      <c r="F52" s="208"/>
      <c r="I52" s="178"/>
      <c r="J52" s="193"/>
      <c r="K52" s="68"/>
      <c r="N52" s="79"/>
    </row>
    <row r="53" spans="1:14" s="78" customFormat="1" ht="15" x14ac:dyDescent="0.25">
      <c r="A53" s="201"/>
      <c r="B53" s="40"/>
      <c r="C53" s="181"/>
      <c r="D53" s="181"/>
      <c r="E53" s="181"/>
      <c r="F53" s="197"/>
      <c r="H53" s="180"/>
      <c r="I53" s="178"/>
      <c r="J53" s="193"/>
      <c r="K53" s="68"/>
      <c r="N53" s="79"/>
    </row>
    <row r="54" spans="1:14" s="78" customFormat="1" x14ac:dyDescent="0.2">
      <c r="A54" s="177"/>
      <c r="B54" s="40"/>
      <c r="C54" s="178"/>
      <c r="D54" s="168"/>
      <c r="E54" s="168"/>
      <c r="F54" s="178"/>
      <c r="G54" s="178"/>
      <c r="H54" s="178"/>
      <c r="I54" s="178"/>
      <c r="J54" s="193"/>
      <c r="K54" s="68"/>
      <c r="N54" s="79"/>
    </row>
    <row r="55" spans="1:14" s="78" customFormat="1" x14ac:dyDescent="0.2">
      <c r="A55" s="177"/>
      <c r="B55" s="40"/>
      <c r="C55" s="178"/>
      <c r="D55" s="178"/>
      <c r="E55" s="178"/>
      <c r="F55" s="178"/>
      <c r="G55" s="178"/>
      <c r="H55" s="178"/>
      <c r="I55" s="178"/>
      <c r="J55" s="193"/>
      <c r="K55" s="68"/>
      <c r="N55" s="79"/>
    </row>
    <row r="56" spans="1:14" s="78" customFormat="1" x14ac:dyDescent="0.2">
      <c r="A56" s="177"/>
      <c r="B56" s="40"/>
      <c r="C56" s="178"/>
      <c r="D56" s="178"/>
      <c r="E56" s="178"/>
      <c r="F56" s="178"/>
      <c r="G56" s="178"/>
      <c r="H56" s="178"/>
      <c r="I56" s="178"/>
      <c r="J56" s="193"/>
      <c r="K56" s="68"/>
      <c r="N56" s="79"/>
    </row>
    <row r="57" spans="1:14" s="78" customFormat="1" x14ac:dyDescent="0.2">
      <c r="A57" s="177"/>
      <c r="B57" s="40"/>
      <c r="C57" s="178"/>
      <c r="D57" s="178"/>
      <c r="E57" s="178"/>
      <c r="F57" s="178"/>
      <c r="G57" s="178"/>
      <c r="H57" s="178"/>
      <c r="I57" s="178"/>
      <c r="J57" s="193"/>
      <c r="K57" s="68"/>
      <c r="N57" s="79"/>
    </row>
    <row r="58" spans="1:14" s="78" customFormat="1" x14ac:dyDescent="0.2">
      <c r="A58" s="177"/>
      <c r="B58" s="40"/>
      <c r="C58" s="178"/>
      <c r="D58" s="178"/>
      <c r="E58" s="178"/>
      <c r="F58" s="178"/>
      <c r="G58" s="178"/>
      <c r="H58" s="178"/>
      <c r="I58" s="178"/>
      <c r="J58" s="193"/>
      <c r="K58" s="68"/>
      <c r="N58" s="79"/>
    </row>
    <row r="59" spans="1:14" s="78" customFormat="1" x14ac:dyDescent="0.2">
      <c r="A59" s="177"/>
      <c r="B59" s="40"/>
      <c r="C59" s="178"/>
      <c r="D59" s="178"/>
      <c r="E59" s="178"/>
      <c r="F59" s="178"/>
      <c r="G59" s="178"/>
      <c r="H59" s="178"/>
      <c r="I59" s="178"/>
      <c r="J59" s="193"/>
      <c r="K59" s="68"/>
      <c r="N59" s="79"/>
    </row>
    <row r="60" spans="1:14" s="78" customFormat="1" x14ac:dyDescent="0.2">
      <c r="A60" s="177"/>
      <c r="B60" s="40"/>
      <c r="C60" s="178"/>
      <c r="D60" s="178"/>
      <c r="E60" s="178"/>
      <c r="F60" s="178"/>
      <c r="G60" s="178"/>
      <c r="H60" s="178"/>
      <c r="I60" s="178"/>
      <c r="J60" s="193"/>
      <c r="K60" s="68"/>
      <c r="N60" s="79"/>
    </row>
    <row r="61" spans="1:14" s="78" customFormat="1" x14ac:dyDescent="0.2">
      <c r="A61" s="177"/>
      <c r="B61" s="40"/>
      <c r="C61" s="178"/>
      <c r="D61" s="178"/>
      <c r="E61" s="178"/>
      <c r="F61" s="178"/>
      <c r="G61" s="178"/>
      <c r="H61" s="178"/>
      <c r="I61" s="178"/>
      <c r="J61" s="193"/>
      <c r="K61" s="68"/>
      <c r="N61" s="79"/>
    </row>
    <row r="62" spans="1:14" s="78" customFormat="1" x14ac:dyDescent="0.2">
      <c r="A62" s="177"/>
      <c r="B62" s="40"/>
      <c r="C62" s="178"/>
      <c r="D62" s="178"/>
      <c r="E62" s="178"/>
      <c r="F62" s="178"/>
      <c r="G62" s="178"/>
      <c r="H62" s="178"/>
      <c r="I62" s="178"/>
      <c r="J62" s="193"/>
      <c r="K62" s="68"/>
      <c r="N62" s="79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102"/>
      <c r="B3" s="102" t="s">
        <v>35</v>
      </c>
      <c r="C3" s="102" t="s">
        <v>36</v>
      </c>
    </row>
    <row r="4" spans="1:3" x14ac:dyDescent="0.2">
      <c r="A4" s="102" t="s">
        <v>11</v>
      </c>
      <c r="B4" s="102">
        <f>'Rekapitulace OK - příloha č. 2'!E7</f>
        <v>5910855</v>
      </c>
      <c r="C4" s="102">
        <f>'Rekapitulace OK - příloha č. 2'!E8</f>
        <v>6352514</v>
      </c>
    </row>
    <row r="5" spans="1:3" x14ac:dyDescent="0.2">
      <c r="A5" s="102" t="s">
        <v>12</v>
      </c>
      <c r="B5" s="102">
        <f>'Rekapitulace OK - příloha č. 2'!F7</f>
        <v>19080296</v>
      </c>
      <c r="C5" s="102">
        <f>'Rekapitulace OK - příloha č. 2'!F8</f>
        <v>19879027</v>
      </c>
    </row>
    <row r="6" spans="1:3" x14ac:dyDescent="0.2">
      <c r="A6" s="102" t="s">
        <v>4</v>
      </c>
      <c r="B6" s="102">
        <f>'Rekapitulace OK - příloha č. 2'!G7</f>
        <v>12548833</v>
      </c>
      <c r="C6" s="102">
        <f>'Rekapitulace OK - příloha č. 2'!G8</f>
        <v>10719548</v>
      </c>
    </row>
    <row r="32" spans="1:3" x14ac:dyDescent="0.2">
      <c r="A32" s="102"/>
      <c r="B32" s="102" t="s">
        <v>41</v>
      </c>
      <c r="C32" s="102" t="s">
        <v>42</v>
      </c>
    </row>
    <row r="33" spans="1:3" x14ac:dyDescent="0.2">
      <c r="A33" s="102" t="s">
        <v>11</v>
      </c>
      <c r="B33" s="102" t="e">
        <f>'Příjmy OK - příloha č. 2'!#REF!</f>
        <v>#REF!</v>
      </c>
      <c r="C33" s="102" t="e">
        <f>'Výdaje OK - příloha č. 2'!#REF!</f>
        <v>#REF!</v>
      </c>
    </row>
    <row r="34" spans="1:3" x14ac:dyDescent="0.2">
      <c r="A34" s="102" t="s">
        <v>12</v>
      </c>
      <c r="B34" s="102" t="e">
        <f>'Příjmy OK - příloha č. 2'!#REF!</f>
        <v>#REF!</v>
      </c>
      <c r="C34" s="102" t="e">
        <f>'Výdaje OK - příloha č. 2'!#REF!</f>
        <v>#REF!</v>
      </c>
    </row>
    <row r="35" spans="1:3" x14ac:dyDescent="0.2">
      <c r="A35" s="102" t="s">
        <v>4</v>
      </c>
      <c r="B35" s="102" t="e">
        <f>'Příjmy OK - příloha č. 2'!#REF!</f>
        <v>#REF!</v>
      </c>
      <c r="C35" s="102" t="e">
        <f>'Výdaje OK - příloha č. 2'!#REF!</f>
        <v>#REF!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136">
        <v>8115</v>
      </c>
    </row>
    <row r="3" spans="1:6" x14ac:dyDescent="0.2">
      <c r="C3" s="133">
        <f>D3+D4+D5</f>
        <v>161414000</v>
      </c>
      <c r="D3" s="130">
        <v>41142000</v>
      </c>
      <c r="E3" t="s">
        <v>56</v>
      </c>
      <c r="F3" t="s">
        <v>60</v>
      </c>
    </row>
    <row r="4" spans="1:6" x14ac:dyDescent="0.2">
      <c r="C4" s="130"/>
      <c r="D4" s="130">
        <v>97035000</v>
      </c>
      <c r="E4" t="s">
        <v>57</v>
      </c>
      <c r="F4" t="s">
        <v>60</v>
      </c>
    </row>
    <row r="5" spans="1:6" x14ac:dyDescent="0.2">
      <c r="C5" s="130"/>
      <c r="D5" s="130">
        <v>23237000</v>
      </c>
      <c r="E5" t="s">
        <v>58</v>
      </c>
      <c r="F5" t="s">
        <v>60</v>
      </c>
    </row>
    <row r="6" spans="1:6" x14ac:dyDescent="0.2">
      <c r="C6" s="130"/>
    </row>
    <row r="8" spans="1:6" x14ac:dyDescent="0.2">
      <c r="A8" s="134" t="s">
        <v>45</v>
      </c>
      <c r="B8" s="134" t="s">
        <v>10</v>
      </c>
      <c r="C8" s="135">
        <v>8115</v>
      </c>
      <c r="D8" s="134" t="s">
        <v>46</v>
      </c>
      <c r="E8" s="134" t="s">
        <v>47</v>
      </c>
    </row>
    <row r="9" spans="1:6" x14ac:dyDescent="0.2">
      <c r="A9" s="131" t="s">
        <v>59</v>
      </c>
      <c r="B9">
        <v>11</v>
      </c>
      <c r="C9" s="138">
        <v>139046.97</v>
      </c>
      <c r="E9">
        <v>71000100686</v>
      </c>
    </row>
    <row r="10" spans="1:6" x14ac:dyDescent="0.2">
      <c r="A10" s="131" t="s">
        <v>48</v>
      </c>
      <c r="B10">
        <v>58</v>
      </c>
      <c r="C10" s="138">
        <v>22919266.140000001</v>
      </c>
      <c r="E10">
        <v>71000000000</v>
      </c>
    </row>
    <row r="11" spans="1:6" x14ac:dyDescent="0.2">
      <c r="A11" s="131" t="s">
        <v>49</v>
      </c>
      <c r="B11">
        <v>63</v>
      </c>
      <c r="C11" s="138">
        <v>28596708.789999999</v>
      </c>
      <c r="E11">
        <v>71000000000</v>
      </c>
    </row>
    <row r="12" spans="1:6" x14ac:dyDescent="0.2">
      <c r="A12" s="131" t="s">
        <v>50</v>
      </c>
      <c r="B12">
        <v>68</v>
      </c>
      <c r="C12" s="138">
        <v>19248386.399999999</v>
      </c>
      <c r="E12">
        <v>71000000000</v>
      </c>
    </row>
    <row r="13" spans="1:6" x14ac:dyDescent="0.2">
      <c r="A13" s="131" t="s">
        <v>51</v>
      </c>
      <c r="B13">
        <v>53</v>
      </c>
      <c r="C13" s="138">
        <v>2849258.72</v>
      </c>
      <c r="E13">
        <v>71000000000</v>
      </c>
    </row>
    <row r="14" spans="1:6" x14ac:dyDescent="0.2">
      <c r="A14" s="131" t="s">
        <v>51</v>
      </c>
      <c r="B14">
        <v>54</v>
      </c>
      <c r="C14" s="138">
        <v>171141.26</v>
      </c>
      <c r="E14">
        <v>71000000000</v>
      </c>
    </row>
    <row r="15" spans="1:6" x14ac:dyDescent="0.2">
      <c r="A15" s="131" t="s">
        <v>51</v>
      </c>
      <c r="B15">
        <v>55</v>
      </c>
      <c r="C15" s="138">
        <v>85448.15</v>
      </c>
      <c r="E15">
        <v>71000000000</v>
      </c>
    </row>
    <row r="16" spans="1:6" x14ac:dyDescent="0.2">
      <c r="A16" s="131" t="s">
        <v>52</v>
      </c>
      <c r="B16">
        <v>56</v>
      </c>
      <c r="C16" s="138">
        <v>46667546.780000001</v>
      </c>
      <c r="E16">
        <v>71000000000</v>
      </c>
    </row>
    <row r="17" spans="1:7" x14ac:dyDescent="0.2">
      <c r="A17" s="131" t="s">
        <v>52</v>
      </c>
      <c r="B17">
        <v>57</v>
      </c>
      <c r="C17" s="138">
        <v>14942427.93</v>
      </c>
      <c r="E17">
        <v>71000000000</v>
      </c>
    </row>
    <row r="18" spans="1:7" x14ac:dyDescent="0.2">
      <c r="A18" s="131" t="s">
        <v>53</v>
      </c>
      <c r="B18">
        <v>60</v>
      </c>
      <c r="C18" s="138">
        <v>48299146.789999999</v>
      </c>
      <c r="E18">
        <v>71000000000</v>
      </c>
    </row>
    <row r="19" spans="1:7" x14ac:dyDescent="0.2">
      <c r="A19" s="131" t="s">
        <v>54</v>
      </c>
      <c r="B19">
        <v>64</v>
      </c>
      <c r="C19" s="138">
        <v>170000</v>
      </c>
      <c r="E19">
        <v>71000100493</v>
      </c>
    </row>
    <row r="20" spans="1:7" x14ac:dyDescent="0.2">
      <c r="A20" s="131" t="s">
        <v>55</v>
      </c>
      <c r="B20">
        <v>66</v>
      </c>
      <c r="C20" s="138">
        <v>42362429.25</v>
      </c>
      <c r="E20">
        <v>71000000000</v>
      </c>
    </row>
    <row r="21" spans="1:7" x14ac:dyDescent="0.2">
      <c r="A21" s="131" t="s">
        <v>55</v>
      </c>
      <c r="B21">
        <v>67</v>
      </c>
      <c r="C21" s="138">
        <v>15396049.710000001</v>
      </c>
      <c r="E21">
        <v>71000000000</v>
      </c>
    </row>
    <row r="22" spans="1:7" x14ac:dyDescent="0.2">
      <c r="A22" s="131" t="s">
        <v>61</v>
      </c>
      <c r="B22">
        <v>7</v>
      </c>
      <c r="C22" s="139">
        <v>223975684.03</v>
      </c>
      <c r="D22">
        <v>813</v>
      </c>
      <c r="E22">
        <v>71000000000</v>
      </c>
    </row>
    <row r="23" spans="1:7" x14ac:dyDescent="0.2">
      <c r="A23" s="131" t="s">
        <v>61</v>
      </c>
      <c r="B23">
        <v>7</v>
      </c>
      <c r="C23" s="138">
        <v>24976497.02</v>
      </c>
      <c r="D23">
        <v>887</v>
      </c>
      <c r="E23">
        <v>71000000000</v>
      </c>
      <c r="F23" s="137"/>
    </row>
    <row r="24" spans="1:7" x14ac:dyDescent="0.2">
      <c r="A24" s="131" t="s">
        <v>62</v>
      </c>
      <c r="B24">
        <v>64</v>
      </c>
      <c r="C24" s="138">
        <v>31424.83</v>
      </c>
      <c r="E24">
        <v>71000100070</v>
      </c>
      <c r="F24" s="137"/>
    </row>
    <row r="25" spans="1:7" x14ac:dyDescent="0.2">
      <c r="A25" s="131" t="s">
        <v>63</v>
      </c>
      <c r="B25">
        <v>71</v>
      </c>
      <c r="C25" s="138">
        <v>11000</v>
      </c>
      <c r="E25">
        <v>71000000000</v>
      </c>
      <c r="F25" s="137"/>
    </row>
    <row r="26" spans="1:7" x14ac:dyDescent="0.2">
      <c r="A26" s="131" t="s">
        <v>64</v>
      </c>
      <c r="B26">
        <v>7</v>
      </c>
      <c r="C26" s="138">
        <v>174168.18</v>
      </c>
      <c r="D26">
        <v>19</v>
      </c>
      <c r="E26">
        <v>73003000000</v>
      </c>
      <c r="F26" s="137"/>
    </row>
    <row r="27" spans="1:7" x14ac:dyDescent="0.2">
      <c r="A27" s="131" t="s">
        <v>66</v>
      </c>
      <c r="B27">
        <v>64</v>
      </c>
      <c r="C27" s="138">
        <v>1793591.61</v>
      </c>
      <c r="E27">
        <v>71000100493</v>
      </c>
      <c r="F27" s="137"/>
    </row>
    <row r="28" spans="1:7" x14ac:dyDescent="0.2">
      <c r="A28" s="131" t="s">
        <v>67</v>
      </c>
      <c r="B28">
        <v>64</v>
      </c>
      <c r="C28" s="138">
        <v>1433086.82</v>
      </c>
      <c r="E28">
        <v>71000100580</v>
      </c>
      <c r="F28" s="137"/>
    </row>
    <row r="29" spans="1:7" x14ac:dyDescent="0.2">
      <c r="A29" s="131" t="s">
        <v>68</v>
      </c>
      <c r="B29">
        <v>7</v>
      </c>
      <c r="C29" s="138">
        <v>8028426</v>
      </c>
      <c r="E29">
        <v>71000000000</v>
      </c>
      <c r="F29" s="137"/>
    </row>
    <row r="30" spans="1:7" x14ac:dyDescent="0.2">
      <c r="A30" s="131" t="s">
        <v>65</v>
      </c>
      <c r="B30">
        <v>7</v>
      </c>
      <c r="C30" s="138">
        <v>8511507.6600000001</v>
      </c>
      <c r="E30">
        <v>71000000000</v>
      </c>
      <c r="F30" s="138" t="s">
        <v>71</v>
      </c>
      <c r="G30" s="130">
        <f>SUM(C9:C30)</f>
        <v>510782243.04000002</v>
      </c>
    </row>
    <row r="31" spans="1:7" x14ac:dyDescent="0.2">
      <c r="A31" s="131" t="s">
        <v>69</v>
      </c>
      <c r="B31">
        <v>7</v>
      </c>
      <c r="C31" s="138">
        <v>62860</v>
      </c>
      <c r="D31">
        <v>19</v>
      </c>
      <c r="E31">
        <v>73001000000</v>
      </c>
      <c r="F31" s="130"/>
      <c r="G31" s="130"/>
    </row>
    <row r="32" spans="1:7" x14ac:dyDescent="0.2">
      <c r="A32" s="132" t="s">
        <v>70</v>
      </c>
      <c r="B32">
        <v>10</v>
      </c>
      <c r="C32" s="138">
        <v>11618</v>
      </c>
      <c r="D32">
        <v>19</v>
      </c>
      <c r="E32">
        <v>71000000000</v>
      </c>
      <c r="F32" s="133"/>
      <c r="G32" s="130"/>
    </row>
    <row r="33" spans="1:7" x14ac:dyDescent="0.2">
      <c r="A33" s="132" t="s">
        <v>70</v>
      </c>
      <c r="B33">
        <v>10</v>
      </c>
      <c r="C33" s="138">
        <v>14430.49</v>
      </c>
      <c r="D33">
        <v>19</v>
      </c>
      <c r="E33">
        <v>71000000000</v>
      </c>
      <c r="F33" s="130" t="s">
        <v>72</v>
      </c>
      <c r="G33" s="130">
        <f>SUM(C31:C33)</f>
        <v>88908.49</v>
      </c>
    </row>
    <row r="34" spans="1:7" x14ac:dyDescent="0.2">
      <c r="A34" s="132" t="s">
        <v>78</v>
      </c>
      <c r="B34">
        <v>7</v>
      </c>
      <c r="C34" s="138">
        <v>1716423.13</v>
      </c>
      <c r="D34">
        <v>19</v>
      </c>
      <c r="E34">
        <v>73000000000</v>
      </c>
      <c r="F34" s="130" t="s">
        <v>75</v>
      </c>
      <c r="G34" s="130">
        <f>C34</f>
        <v>1716423.13</v>
      </c>
    </row>
    <row r="35" spans="1:7" x14ac:dyDescent="0.2">
      <c r="A35" s="132" t="s">
        <v>79</v>
      </c>
      <c r="B35">
        <v>99</v>
      </c>
      <c r="C35" s="138">
        <v>25196737.460000001</v>
      </c>
      <c r="E35">
        <v>71000000000</v>
      </c>
      <c r="F35" s="130"/>
      <c r="G35" s="130"/>
    </row>
    <row r="36" spans="1:7" x14ac:dyDescent="0.2">
      <c r="A36" s="132" t="s">
        <v>80</v>
      </c>
      <c r="B36">
        <v>7</v>
      </c>
      <c r="C36" s="138">
        <v>168935624.75</v>
      </c>
      <c r="D36">
        <v>24</v>
      </c>
      <c r="E36">
        <v>71000000000</v>
      </c>
      <c r="F36" s="130"/>
      <c r="G36" s="130"/>
    </row>
    <row r="37" spans="1:7" x14ac:dyDescent="0.2">
      <c r="A37" s="132" t="s">
        <v>80</v>
      </c>
      <c r="B37">
        <v>7</v>
      </c>
      <c r="C37" s="138">
        <v>19089.3</v>
      </c>
      <c r="D37">
        <v>25</v>
      </c>
      <c r="E37">
        <v>71000000000</v>
      </c>
      <c r="F37" s="130" t="s">
        <v>76</v>
      </c>
      <c r="G37" s="130">
        <f>C35+C36+C37</f>
        <v>194151451.51000002</v>
      </c>
    </row>
    <row r="38" spans="1:7" x14ac:dyDescent="0.2">
      <c r="A38" s="132" t="s">
        <v>81</v>
      </c>
      <c r="B38">
        <v>199</v>
      </c>
      <c r="C38" s="138">
        <v>771707.14</v>
      </c>
      <c r="E38">
        <v>71000000000</v>
      </c>
      <c r="F38" s="130" t="s">
        <v>77</v>
      </c>
      <c r="G38" s="130">
        <f>C38</f>
        <v>771707.14</v>
      </c>
    </row>
    <row r="39" spans="1:7" x14ac:dyDescent="0.2">
      <c r="A39" s="132"/>
      <c r="C39" s="138"/>
      <c r="F39" s="130"/>
      <c r="G39" s="130"/>
    </row>
    <row r="40" spans="1:7" x14ac:dyDescent="0.2">
      <c r="A40" s="132"/>
      <c r="C40" s="138"/>
      <c r="F40" s="130"/>
      <c r="G40" s="130"/>
    </row>
    <row r="41" spans="1:7" x14ac:dyDescent="0.2">
      <c r="A41" s="132"/>
      <c r="C41" s="138"/>
      <c r="F41" s="130"/>
      <c r="G41" s="130"/>
    </row>
    <row r="42" spans="1:7" x14ac:dyDescent="0.2">
      <c r="A42" s="132"/>
      <c r="C42" s="138"/>
      <c r="F42" s="130"/>
      <c r="G42" s="130"/>
    </row>
    <row r="43" spans="1:7" x14ac:dyDescent="0.2">
      <c r="A43" s="132"/>
      <c r="C43" s="138"/>
      <c r="F43" s="130"/>
      <c r="G43" s="130"/>
    </row>
    <row r="44" spans="1:7" x14ac:dyDescent="0.2">
      <c r="A44" s="132"/>
      <c r="C44" s="138">
        <f>G30+G33+G34+G37+G38</f>
        <v>707510733.31000006</v>
      </c>
      <c r="F44" s="130"/>
      <c r="G44" s="130"/>
    </row>
    <row r="45" spans="1:7" x14ac:dyDescent="0.2">
      <c r="A45" s="132"/>
      <c r="C45" s="138"/>
      <c r="F45" s="130"/>
      <c r="G45" s="130"/>
    </row>
    <row r="46" spans="1:7" x14ac:dyDescent="0.2">
      <c r="A46" s="132"/>
      <c r="C46" s="130"/>
      <c r="F46" s="130"/>
      <c r="G46" s="130"/>
    </row>
    <row r="47" spans="1:7" x14ac:dyDescent="0.2">
      <c r="A47" s="132"/>
      <c r="C47" s="130"/>
      <c r="F47" s="130"/>
      <c r="G47" s="130"/>
    </row>
    <row r="48" spans="1:7" x14ac:dyDescent="0.2">
      <c r="A48" s="129"/>
      <c r="C48" s="133">
        <f>C3+C44</f>
        <v>868924733.31000006</v>
      </c>
      <c r="G48" s="130"/>
    </row>
    <row r="49" spans="3:7" x14ac:dyDescent="0.2">
      <c r="C49" s="130"/>
      <c r="G49" s="130"/>
    </row>
    <row r="50" spans="3:7" x14ac:dyDescent="0.2">
      <c r="G50" s="130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90" t="s">
        <v>82</v>
      </c>
      <c r="B1" s="91"/>
      <c r="C1" s="91"/>
      <c r="D1" s="91"/>
      <c r="E1" s="92"/>
      <c r="F1" s="92"/>
      <c r="G1" s="92"/>
      <c r="H1" s="92"/>
    </row>
    <row r="2" spans="1:21" s="93" customFormat="1" ht="15.75" x14ac:dyDescent="0.25">
      <c r="A2" s="94"/>
      <c r="B2" s="91"/>
      <c r="C2" s="91"/>
      <c r="D2" s="91"/>
      <c r="E2" s="92"/>
      <c r="F2" s="92"/>
      <c r="G2" s="92"/>
      <c r="H2" s="92"/>
    </row>
    <row r="3" spans="1:21" s="93" customFormat="1" ht="14.25" customHeight="1" x14ac:dyDescent="0.25">
      <c r="A3" s="95" t="s">
        <v>31</v>
      </c>
      <c r="B3" s="91"/>
      <c r="C3" s="91"/>
      <c r="D3" s="91"/>
      <c r="E3" s="92"/>
      <c r="F3" s="92"/>
      <c r="G3" s="92"/>
      <c r="H3" s="4"/>
    </row>
    <row r="4" spans="1:21" s="93" customFormat="1" ht="14.25" customHeight="1" thickBot="1" x14ac:dyDescent="0.3">
      <c r="A4" s="95"/>
      <c r="B4" s="91"/>
      <c r="C4" s="91"/>
      <c r="D4" s="91"/>
      <c r="E4" s="92"/>
      <c r="F4" s="92"/>
      <c r="G4" s="92"/>
      <c r="H4" s="165" t="s">
        <v>73</v>
      </c>
    </row>
    <row r="5" spans="1:21" s="93" customFormat="1" ht="14.25" customHeight="1" thickTop="1" thickBot="1" x14ac:dyDescent="0.25">
      <c r="A5" s="162"/>
      <c r="B5" s="163"/>
      <c r="C5" s="163"/>
      <c r="D5" s="164"/>
      <c r="E5" s="3" t="s">
        <v>2</v>
      </c>
      <c r="F5" s="3" t="s">
        <v>3</v>
      </c>
      <c r="G5" s="3" t="s">
        <v>4</v>
      </c>
      <c r="H5" s="5" t="s">
        <v>5</v>
      </c>
    </row>
    <row r="6" spans="1:21" s="93" customFormat="1" ht="14.25" customHeight="1" thickTop="1" thickBot="1" x14ac:dyDescent="0.25">
      <c r="A6" s="541">
        <v>1</v>
      </c>
      <c r="B6" s="542"/>
      <c r="C6" s="542"/>
      <c r="D6" s="543"/>
      <c r="E6" s="151">
        <v>2</v>
      </c>
      <c r="F6" s="151">
        <v>3</v>
      </c>
      <c r="G6" s="151">
        <v>4</v>
      </c>
      <c r="H6" s="152" t="s">
        <v>6</v>
      </c>
    </row>
    <row r="7" spans="1:21" s="96" customFormat="1" ht="16.5" thickTop="1" x14ac:dyDescent="0.25">
      <c r="A7" s="114" t="s">
        <v>32</v>
      </c>
      <c r="B7" s="115"/>
      <c r="C7" s="115"/>
      <c r="D7" s="140"/>
      <c r="E7" s="144" t="e">
        <f>'Příjmy OK - příloha č. 2'!#REF!</f>
        <v>#REF!</v>
      </c>
      <c r="F7" s="144" t="e">
        <f>'Příjmy OK - příloha č. 2'!#REF!</f>
        <v>#REF!</v>
      </c>
      <c r="G7" s="144" t="e">
        <f>'Příjmy OK - příloha č. 2'!#REF!</f>
        <v>#REF!</v>
      </c>
      <c r="H7" s="116" t="e">
        <f>(G7/F7)*100</f>
        <v>#REF!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1" s="96" customFormat="1" ht="15" x14ac:dyDescent="0.2">
      <c r="A8" s="117" t="s">
        <v>83</v>
      </c>
      <c r="B8" s="118"/>
      <c r="C8" s="118"/>
      <c r="D8" s="141"/>
      <c r="E8" s="145"/>
      <c r="F8" s="145"/>
      <c r="G8" s="149"/>
      <c r="H8" s="119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1" s="96" customFormat="1" ht="15.75" x14ac:dyDescent="0.25">
      <c r="A9" s="120" t="s">
        <v>33</v>
      </c>
      <c r="B9" s="121"/>
      <c r="C9" s="121"/>
      <c r="D9" s="142"/>
      <c r="E9" s="146" t="e">
        <f>'Výdaje OK - příloha č. 2'!#REF!+'Výdaje OK - příloha č. 2'!#REF!</f>
        <v>#REF!</v>
      </c>
      <c r="F9" s="146" t="e">
        <f>'Výdaje OK - příloha č. 2'!#REF!+'Výdaje OK - příloha č. 2'!#REF!</f>
        <v>#REF!</v>
      </c>
      <c r="G9" s="146" t="e">
        <f>'Výdaje OK - příloha č. 2'!#REF!+'Výdaje OK - příloha č. 2'!#REF!</f>
        <v>#REF!</v>
      </c>
      <c r="H9" s="122" t="e">
        <f>(G9/F9)*100</f>
        <v>#REF!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1" s="96" customFormat="1" ht="15" x14ac:dyDescent="0.2">
      <c r="A10" s="221" t="s">
        <v>84</v>
      </c>
      <c r="B10" s="121"/>
      <c r="C10" s="121"/>
      <c r="D10" s="143"/>
      <c r="E10" s="147"/>
      <c r="F10" s="148"/>
      <c r="G10" s="150"/>
      <c r="H10" s="12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1" s="96" customFormat="1" ht="21.75" customHeight="1" thickBot="1" x14ac:dyDescent="0.3">
      <c r="A11" s="97" t="s">
        <v>34</v>
      </c>
      <c r="B11" s="98"/>
      <c r="C11" s="98"/>
      <c r="D11" s="98"/>
      <c r="E11" s="99"/>
      <c r="F11" s="100"/>
      <c r="G11" s="153" t="e">
        <f>G7-G9</f>
        <v>#REF!</v>
      </c>
      <c r="H11" s="101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</row>
    <row r="12" spans="1:21" ht="13.5" thickTop="1" x14ac:dyDescent="0.2"/>
    <row r="37" spans="1:8" ht="15" x14ac:dyDescent="0.25">
      <c r="A37" s="103" t="s">
        <v>37</v>
      </c>
      <c r="B37" s="93"/>
      <c r="C37" s="93"/>
      <c r="D37" s="93"/>
      <c r="E37" s="104"/>
      <c r="F37" s="92"/>
      <c r="G37" s="92"/>
      <c r="H37" s="4"/>
    </row>
    <row r="38" spans="1:8" ht="15.75" thickBot="1" x14ac:dyDescent="0.3">
      <c r="A38" s="103"/>
      <c r="B38" s="93"/>
      <c r="C38" s="93"/>
      <c r="D38" s="93"/>
      <c r="E38" s="104"/>
      <c r="F38" s="92"/>
      <c r="G38" s="92"/>
      <c r="H38" s="165" t="s">
        <v>73</v>
      </c>
    </row>
    <row r="39" spans="1:8" s="93" customFormat="1" ht="14.25" customHeight="1" thickTop="1" thickBot="1" x14ac:dyDescent="0.25">
      <c r="A39" s="162"/>
      <c r="B39" s="163"/>
      <c r="C39" s="163"/>
      <c r="D39" s="164"/>
      <c r="E39" s="3" t="s">
        <v>2</v>
      </c>
      <c r="F39" s="3" t="s">
        <v>3</v>
      </c>
      <c r="G39" s="3" t="s">
        <v>4</v>
      </c>
      <c r="H39" s="5" t="s">
        <v>5</v>
      </c>
    </row>
    <row r="40" spans="1:8" s="93" customFormat="1" ht="14.25" customHeight="1" thickTop="1" thickBot="1" x14ac:dyDescent="0.25">
      <c r="A40" s="541">
        <v>1</v>
      </c>
      <c r="B40" s="542"/>
      <c r="C40" s="542"/>
      <c r="D40" s="543"/>
      <c r="E40" s="151">
        <v>2</v>
      </c>
      <c r="F40" s="151">
        <v>3</v>
      </c>
      <c r="G40" s="151">
        <v>4</v>
      </c>
      <c r="H40" s="152" t="s">
        <v>6</v>
      </c>
    </row>
    <row r="41" spans="1:8" ht="20.25" thickTop="1" x14ac:dyDescent="0.4">
      <c r="A41" s="105" t="s">
        <v>38</v>
      </c>
      <c r="B41" s="106"/>
      <c r="C41" s="106"/>
      <c r="D41" s="107"/>
      <c r="E41" s="154" t="e">
        <f>'Příjmy OK - příloha č. 2'!#REF!</f>
        <v>#REF!</v>
      </c>
      <c r="F41" s="154" t="e">
        <f>'Příjmy OK - příloha č. 2'!#REF!</f>
        <v>#REF!</v>
      </c>
      <c r="G41" s="154" t="e">
        <f>'Příjmy OK - příloha č. 2'!#REF!</f>
        <v>#REF!</v>
      </c>
      <c r="H41" s="157" t="e">
        <f>(G41/F41)*100</f>
        <v>#REF!</v>
      </c>
    </row>
    <row r="42" spans="1:8" ht="19.5" x14ac:dyDescent="0.4">
      <c r="A42" s="108" t="s">
        <v>39</v>
      </c>
      <c r="B42" s="109"/>
      <c r="C42" s="109"/>
      <c r="D42" s="110"/>
      <c r="E42" s="155" t="e">
        <f>'Výdaje OK - příloha č. 2'!#REF!</f>
        <v>#REF!</v>
      </c>
      <c r="F42" s="155" t="e">
        <f>'Výdaje OK - příloha č. 2'!#REF!</f>
        <v>#REF!</v>
      </c>
      <c r="G42" s="155" t="e">
        <f>'Výdaje OK - příloha č. 2'!#REF!</f>
        <v>#REF!</v>
      </c>
      <c r="H42" s="156" t="e">
        <f>(G42/F42)*100</f>
        <v>#REF!</v>
      </c>
    </row>
    <row r="43" spans="1:8" ht="25.5" customHeight="1" thickBot="1" x14ac:dyDescent="0.45">
      <c r="A43" s="173" t="s">
        <v>40</v>
      </c>
      <c r="B43" s="97"/>
      <c r="C43" s="97"/>
      <c r="D43" s="97"/>
      <c r="E43" s="97"/>
      <c r="F43" s="171"/>
      <c r="G43" s="172" t="e">
        <f>G41-G42</f>
        <v>#REF!</v>
      </c>
      <c r="H43" s="101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7</vt:i4>
      </vt:variant>
    </vt:vector>
  </HeadingPairs>
  <TitlesOfParts>
    <vt:vector size="17" baseType="lpstr">
      <vt:lpstr>Bilance OK - příloha č.1</vt:lpstr>
      <vt:lpstr>Příjmy OK - příloha č. 2</vt:lpstr>
      <vt:lpstr>Výdaje OK - příloha č. 2</vt:lpstr>
      <vt:lpstr>Financování OK - příloha č. 2</vt:lpstr>
      <vt:lpstr>Rekapitulace OK - příloha č. 2</vt:lpstr>
      <vt:lpstr>Výdaje (2)</vt:lpstr>
      <vt:lpstr>List2</vt:lpstr>
      <vt:lpstr>8115-zap.zůst.k 31.12.2011</vt:lpstr>
      <vt:lpstr>Rekapitulace (2)</vt:lpstr>
      <vt:lpstr>List4</vt:lpstr>
      <vt:lpstr>'Bilance OK - příloha č.1'!Oblast_tisku</vt:lpstr>
      <vt:lpstr>'Financování OK - příloha č. 2'!Oblast_tisku</vt:lpstr>
      <vt:lpstr>'Příjmy OK - příloha č. 2'!Oblast_tisku</vt:lpstr>
      <vt:lpstr>'Rekapitulace (2)'!Oblast_tisku</vt:lpstr>
      <vt:lpstr>'Rekapitulace OK - příloha č. 2'!Oblast_tisku</vt:lpstr>
      <vt:lpstr>'Výdaje (2)'!Oblast_tisku</vt:lpstr>
      <vt:lpstr>'Výdaje OK - příloha č. 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Foret Oldřich</cp:lastModifiedBy>
  <cp:lastPrinted>2022-09-07T07:23:05Z</cp:lastPrinted>
  <dcterms:created xsi:type="dcterms:W3CDTF">2010-11-26T09:05:32Z</dcterms:created>
  <dcterms:modified xsi:type="dcterms:W3CDTF">2022-09-07T07:42:15Z</dcterms:modified>
</cp:coreProperties>
</file>