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840" windowWidth="15180" windowHeight="10155"/>
  </bookViews>
  <sheets>
    <sheet name="rekapitulace" sheetId="7" r:id="rId1"/>
    <sheet name="8a. EIB - Evropské programy" sheetId="4" r:id="rId2"/>
    <sheet name="8b. KB 2014" sheetId="1" r:id="rId3"/>
    <sheet name="8c. OK 2014" sheetId="8" r:id="rId4"/>
    <sheet name="d) dotace" sheetId="10" r:id="rId5"/>
  </sheets>
  <definedNames>
    <definedName name="_xlnm.Print_Area" localSheetId="1">'8a. EIB - Evropské programy'!$A$1:$E$113</definedName>
    <definedName name="_xlnm.Print_Area" localSheetId="2">'8b. KB 2014'!$A$1:$E$16</definedName>
    <definedName name="_xlnm.Print_Area" localSheetId="3">'8c. OK 2014'!$A$1:$E$330</definedName>
    <definedName name="_xlnm.Print_Area" localSheetId="4">'d) dotace'!$A$1:$E$88</definedName>
    <definedName name="_xlnm.Print_Area" localSheetId="0">rekapitulace!$A$1:$D$42</definedName>
  </definedNames>
  <calcPr calcId="145621"/>
</workbook>
</file>

<file path=xl/calcChain.xml><?xml version="1.0" encoding="utf-8"?>
<calcChain xmlns="http://schemas.openxmlformats.org/spreadsheetml/2006/main">
  <c r="E113" i="4" l="1"/>
  <c r="E112" i="4"/>
  <c r="E111" i="4"/>
  <c r="E110" i="4"/>
  <c r="E109" i="4"/>
  <c r="E108" i="4"/>
  <c r="E107" i="4"/>
  <c r="E103" i="4"/>
  <c r="E101" i="4"/>
  <c r="E100" i="4"/>
  <c r="E94" i="4"/>
  <c r="E92" i="4"/>
  <c r="E91" i="4"/>
  <c r="E85" i="4"/>
  <c r="E83" i="4"/>
  <c r="E82" i="4"/>
  <c r="E78" i="4"/>
  <c r="E77" i="4"/>
  <c r="E76" i="4"/>
  <c r="E75" i="4"/>
  <c r="E69" i="4"/>
  <c r="E67" i="4"/>
  <c r="E66" i="4"/>
  <c r="E65" i="4"/>
  <c r="E64" i="4"/>
  <c r="E63" i="4"/>
  <c r="E58" i="4"/>
  <c r="E56" i="4"/>
  <c r="E55" i="4"/>
  <c r="E54" i="4"/>
  <c r="E53" i="4"/>
  <c r="E52" i="4"/>
  <c r="E51" i="4"/>
  <c r="E50" i="4"/>
  <c r="E49" i="4"/>
  <c r="E48" i="4"/>
  <c r="E43" i="4"/>
  <c r="E41" i="4"/>
  <c r="E40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D78" i="10"/>
  <c r="C78" i="10"/>
  <c r="B78" i="10"/>
  <c r="D65" i="10"/>
  <c r="C65" i="10"/>
  <c r="B65" i="10"/>
  <c r="D43" i="10"/>
  <c r="C43" i="10"/>
  <c r="B43" i="10"/>
  <c r="D7" i="10"/>
  <c r="C7" i="10"/>
  <c r="B7" i="10"/>
  <c r="J166" i="4"/>
  <c r="K166" i="4"/>
  <c r="I166" i="4"/>
  <c r="J165" i="4"/>
  <c r="K165" i="4"/>
  <c r="I165" i="4"/>
  <c r="J115" i="4"/>
  <c r="K115" i="4"/>
  <c r="I115" i="4"/>
  <c r="J114" i="4"/>
  <c r="K114" i="4"/>
  <c r="I114" i="4"/>
  <c r="J113" i="4"/>
  <c r="K113" i="4"/>
  <c r="I113" i="4"/>
  <c r="J79" i="4"/>
  <c r="K79" i="4"/>
  <c r="I79" i="4"/>
  <c r="K76" i="4"/>
  <c r="J76" i="4"/>
  <c r="I76" i="4"/>
  <c r="I49" i="4"/>
  <c r="I17" i="4"/>
  <c r="I16" i="4"/>
  <c r="I15" i="4"/>
  <c r="I14" i="4"/>
  <c r="J257" i="8"/>
  <c r="I257" i="8"/>
  <c r="K257" i="8"/>
  <c r="J259" i="8"/>
  <c r="K259" i="8"/>
  <c r="I259" i="8"/>
  <c r="J258" i="8"/>
  <c r="K258" i="8"/>
  <c r="I258" i="8"/>
  <c r="J240" i="8"/>
  <c r="K240" i="8"/>
  <c r="I240" i="8"/>
  <c r="J162" i="8"/>
  <c r="K162" i="8"/>
  <c r="I162" i="8"/>
  <c r="J161" i="8"/>
  <c r="J322" i="8" s="1"/>
  <c r="K161" i="8"/>
  <c r="K322" i="8" s="1"/>
  <c r="I161" i="8"/>
  <c r="I322" i="8" s="1"/>
  <c r="J160" i="8"/>
  <c r="K160" i="8"/>
  <c r="I160" i="8"/>
  <c r="J104" i="8"/>
  <c r="K104" i="8"/>
  <c r="I104" i="8"/>
  <c r="J69" i="8"/>
  <c r="K69" i="8"/>
  <c r="I69" i="8"/>
  <c r="J68" i="8"/>
  <c r="K68" i="8"/>
  <c r="I68" i="8"/>
  <c r="J70" i="8"/>
  <c r="K70" i="8"/>
  <c r="I70" i="8"/>
  <c r="B23" i="7" l="1"/>
  <c r="B22" i="7" s="1"/>
  <c r="C23" i="7"/>
  <c r="C22" i="7" s="1"/>
  <c r="D23" i="7"/>
  <c r="D22" i="7" s="1"/>
  <c r="C16" i="7"/>
  <c r="D16" i="7"/>
  <c r="D88" i="10"/>
  <c r="C88" i="10"/>
  <c r="D292" i="8"/>
  <c r="K292" i="8" s="1"/>
  <c r="D282" i="8"/>
  <c r="K260" i="8" s="1"/>
  <c r="K323" i="8" s="1"/>
  <c r="C282" i="8"/>
  <c r="J260" i="8" s="1"/>
  <c r="J323" i="8" s="1"/>
  <c r="B282" i="8"/>
  <c r="I260" i="8" s="1"/>
  <c r="I323" i="8" s="1"/>
  <c r="D266" i="8"/>
  <c r="C266" i="8"/>
  <c r="B266" i="8"/>
  <c r="D247" i="8"/>
  <c r="C247" i="8"/>
  <c r="B247" i="8"/>
  <c r="D237" i="8"/>
  <c r="D241" i="8" s="1"/>
  <c r="C237" i="8"/>
  <c r="B237" i="8"/>
  <c r="D225" i="8"/>
  <c r="C225" i="8"/>
  <c r="B225" i="8"/>
  <c r="D214" i="8"/>
  <c r="C214" i="8"/>
  <c r="B214" i="8"/>
  <c r="D181" i="8"/>
  <c r="C181" i="8"/>
  <c r="B181" i="8"/>
  <c r="C130" i="8"/>
  <c r="D130" i="8"/>
  <c r="B130" i="8"/>
  <c r="D118" i="8"/>
  <c r="K105" i="8" s="1"/>
  <c r="K324" i="8" s="1"/>
  <c r="C118" i="8"/>
  <c r="J105" i="8" s="1"/>
  <c r="J324" i="8" s="1"/>
  <c r="B118" i="8"/>
  <c r="I105" i="8" s="1"/>
  <c r="I324" i="8" s="1"/>
  <c r="C78" i="8"/>
  <c r="D78" i="8"/>
  <c r="D123" i="8" s="1"/>
  <c r="B78" i="8"/>
  <c r="D69" i="8"/>
  <c r="C69" i="8"/>
  <c r="B69" i="8"/>
  <c r="D55" i="8"/>
  <c r="C55" i="8"/>
  <c r="B55" i="8"/>
  <c r="C7" i="8"/>
  <c r="D7" i="8"/>
  <c r="B7" i="8"/>
  <c r="D113" i="4"/>
  <c r="C113" i="4"/>
  <c r="B113" i="4"/>
  <c r="D91" i="4"/>
  <c r="C91" i="4"/>
  <c r="B91" i="4"/>
  <c r="D85" i="4"/>
  <c r="C85" i="4"/>
  <c r="B85" i="4"/>
  <c r="D75" i="4"/>
  <c r="C75" i="4"/>
  <c r="B75" i="4"/>
  <c r="D69" i="4"/>
  <c r="C69" i="4"/>
  <c r="B69" i="4"/>
  <c r="D63" i="4"/>
  <c r="C63" i="4"/>
  <c r="B63" i="4"/>
  <c r="D48" i="4"/>
  <c r="C48" i="4"/>
  <c r="B48" i="4"/>
  <c r="B43" i="4"/>
  <c r="D40" i="4"/>
  <c r="C40" i="4"/>
  <c r="B40" i="4"/>
  <c r="D7" i="4"/>
  <c r="C7" i="4"/>
  <c r="B7" i="4"/>
  <c r="E65" i="8"/>
  <c r="J261" i="8" l="1"/>
  <c r="C241" i="8"/>
  <c r="B72" i="8"/>
  <c r="D218" i="8"/>
  <c r="B241" i="8"/>
  <c r="C72" i="8"/>
  <c r="B285" i="8"/>
  <c r="E225" i="8"/>
  <c r="I261" i="8"/>
  <c r="B218" i="8"/>
  <c r="B123" i="8"/>
  <c r="C285" i="8"/>
  <c r="D285" i="8"/>
  <c r="D72" i="8"/>
  <c r="C218" i="8"/>
  <c r="C123" i="8"/>
  <c r="K261" i="8"/>
  <c r="K326" i="8"/>
  <c r="E202" i="8"/>
  <c r="E203" i="8"/>
  <c r="E204" i="8"/>
  <c r="E205" i="8"/>
  <c r="E206" i="8"/>
  <c r="E207" i="8"/>
  <c r="E208" i="8"/>
  <c r="E201" i="8"/>
  <c r="E200" i="8"/>
  <c r="E195" i="8"/>
  <c r="E196" i="8"/>
  <c r="E197" i="8"/>
  <c r="E64" i="8" l="1"/>
  <c r="E63" i="8"/>
  <c r="E62" i="8"/>
  <c r="C292" i="8" l="1"/>
  <c r="J292" i="8" s="1"/>
  <c r="J326" i="8" s="1"/>
  <c r="B292" i="8"/>
  <c r="I292" i="8" s="1"/>
  <c r="I326" i="8" s="1"/>
  <c r="E293" i="8" l="1"/>
  <c r="E294" i="8"/>
  <c r="C298" i="8" l="1"/>
  <c r="J296" i="8" s="1"/>
  <c r="J327" i="8" s="1"/>
  <c r="D298" i="8"/>
  <c r="K296" i="8" s="1"/>
  <c r="K327" i="8" s="1"/>
  <c r="B298" i="8"/>
  <c r="I296" i="8" s="1"/>
  <c r="I327" i="8" s="1"/>
  <c r="E299" i="8"/>
  <c r="E300" i="8"/>
  <c r="E304" i="8" l="1"/>
  <c r="C303" i="8"/>
  <c r="J297" i="8" s="1"/>
  <c r="J328" i="8" s="1"/>
  <c r="D303" i="8"/>
  <c r="K297" i="8" s="1"/>
  <c r="K328" i="8" s="1"/>
  <c r="B303" i="8"/>
  <c r="I297" i="8" s="1"/>
  <c r="I328" i="8" s="1"/>
  <c r="B296" i="8"/>
  <c r="I295" i="8" s="1"/>
  <c r="E303" i="8" l="1"/>
  <c r="E189" i="8" l="1"/>
  <c r="E190" i="8"/>
  <c r="E191" i="8"/>
  <c r="E210" i="8"/>
  <c r="E209" i="8"/>
  <c r="E199" i="8"/>
  <c r="E198" i="8"/>
  <c r="E194" i="8"/>
  <c r="E193" i="8"/>
  <c r="E192" i="8"/>
  <c r="E181" i="8" l="1"/>
  <c r="E283" i="8"/>
  <c r="E119" i="8" l="1"/>
  <c r="E121" i="8" l="1"/>
  <c r="E120" i="8"/>
  <c r="E118" i="8" l="1"/>
  <c r="E276" i="8" l="1"/>
  <c r="E275" i="8"/>
  <c r="E274" i="8"/>
  <c r="E273" i="8"/>
  <c r="E272" i="8"/>
  <c r="E267" i="8"/>
  <c r="D81" i="10" l="1"/>
  <c r="C81" i="10"/>
  <c r="B81" i="10"/>
  <c r="B87" i="10" s="1"/>
  <c r="B16" i="7" s="1"/>
  <c r="D58" i="10"/>
  <c r="C58" i="10"/>
  <c r="B58" i="10"/>
  <c r="D36" i="10"/>
  <c r="C36" i="10"/>
  <c r="B36" i="10"/>
  <c r="E87" i="10"/>
  <c r="C87" i="10"/>
  <c r="D87" i="10"/>
  <c r="E72" i="10"/>
  <c r="E66" i="10"/>
  <c r="E67" i="10"/>
  <c r="E68" i="10"/>
  <c r="E69" i="10"/>
  <c r="E70" i="10"/>
  <c r="E71" i="10"/>
  <c r="E73" i="10"/>
  <c r="E74" i="10"/>
  <c r="C55" i="10"/>
  <c r="E65" i="10" l="1"/>
  <c r="E54" i="10"/>
  <c r="E53" i="10"/>
  <c r="E52" i="10"/>
  <c r="E51" i="10"/>
  <c r="E34" i="10" l="1"/>
  <c r="E33" i="10"/>
  <c r="E32" i="10"/>
  <c r="E31" i="10"/>
  <c r="E79" i="10"/>
  <c r="E78" i="10" l="1"/>
  <c r="E81" i="10"/>
  <c r="C30" i="10" l="1"/>
  <c r="E30" i="10" s="1"/>
  <c r="C50" i="10"/>
  <c r="E50" i="10" s="1"/>
  <c r="C49" i="10"/>
  <c r="E49" i="10" s="1"/>
  <c r="C48" i="10"/>
  <c r="E48" i="10" s="1"/>
  <c r="C47" i="10"/>
  <c r="E47" i="10" s="1"/>
  <c r="C46" i="10"/>
  <c r="C45" i="10"/>
  <c r="E45" i="10" s="1"/>
  <c r="C44" i="10"/>
  <c r="E44" i="10" s="1"/>
  <c r="C29" i="10"/>
  <c r="C28" i="10"/>
  <c r="E28" i="10" s="1"/>
  <c r="C27" i="10"/>
  <c r="E27" i="10" s="1"/>
  <c r="C26" i="10"/>
  <c r="E26" i="10" s="1"/>
  <c r="C25" i="10"/>
  <c r="E25" i="10" s="1"/>
  <c r="C24" i="10" l="1"/>
  <c r="C23" i="10"/>
  <c r="E23" i="10" s="1"/>
  <c r="C22" i="10"/>
  <c r="E22" i="10" s="1"/>
  <c r="C21" i="10"/>
  <c r="E21" i="10" s="1"/>
  <c r="C20" i="10" l="1"/>
  <c r="E20" i="10" s="1"/>
  <c r="C19" i="10"/>
  <c r="E19" i="10" s="1"/>
  <c r="C18" i="10"/>
  <c r="E18" i="10" s="1"/>
  <c r="C17" i="10"/>
  <c r="E17" i="10" s="1"/>
  <c r="C16" i="10"/>
  <c r="E16" i="10" s="1"/>
  <c r="C15" i="10"/>
  <c r="E15" i="10" s="1"/>
  <c r="C14" i="10"/>
  <c r="E14" i="10" s="1"/>
  <c r="C13" i="10"/>
  <c r="E13" i="10" s="1"/>
  <c r="C12" i="10"/>
  <c r="E12" i="10" s="1"/>
  <c r="C11" i="10"/>
  <c r="E11" i="10" s="1"/>
  <c r="C10" i="10"/>
  <c r="E10" i="10" s="1"/>
  <c r="C9" i="10"/>
  <c r="E9" i="10" s="1"/>
  <c r="C8" i="10"/>
  <c r="E7" i="10" l="1"/>
  <c r="E8" i="10"/>
  <c r="E177" i="8"/>
  <c r="E176" i="8"/>
  <c r="E175" i="8"/>
  <c r="E174" i="8"/>
  <c r="E173" i="8"/>
  <c r="E172" i="8"/>
  <c r="E171" i="8"/>
  <c r="E170" i="8"/>
  <c r="E169" i="8"/>
  <c r="E157" i="8"/>
  <c r="E114" i="8" l="1"/>
  <c r="E113" i="8"/>
  <c r="E112" i="8"/>
  <c r="E111" i="8"/>
  <c r="E110" i="8"/>
  <c r="E109" i="8"/>
  <c r="E108" i="8"/>
  <c r="E51" i="8"/>
  <c r="E50" i="8"/>
  <c r="E49" i="8"/>
  <c r="E48" i="8"/>
  <c r="E47" i="8"/>
  <c r="E46" i="8"/>
  <c r="E282" i="8" l="1"/>
  <c r="J103" i="8"/>
  <c r="J318" i="8" s="1"/>
  <c r="K103" i="8"/>
  <c r="K318" i="8" s="1"/>
  <c r="I103" i="8"/>
  <c r="I318" i="8" s="1"/>
  <c r="J102" i="8"/>
  <c r="K102" i="8"/>
  <c r="I102" i="8"/>
  <c r="E41" i="8"/>
  <c r="E40" i="8"/>
  <c r="E39" i="8"/>
  <c r="E38" i="8"/>
  <c r="E37" i="8"/>
  <c r="E18" i="8"/>
  <c r="E253" i="8"/>
  <c r="E252" i="8"/>
  <c r="E251" i="8"/>
  <c r="E248" i="8"/>
  <c r="E249" i="8"/>
  <c r="E250" i="8"/>
  <c r="E254" i="8"/>
  <c r="I106" i="8" l="1"/>
  <c r="I320" i="8"/>
  <c r="K106" i="8"/>
  <c r="J106" i="8"/>
  <c r="E155" i="8"/>
  <c r="E154" i="8"/>
  <c r="E153" i="8"/>
  <c r="E151" i="8"/>
  <c r="E150" i="8"/>
  <c r="E149" i="8"/>
  <c r="E148" i="8"/>
  <c r="E147" i="8"/>
  <c r="E146" i="8"/>
  <c r="E145" i="8"/>
  <c r="E143" i="8"/>
  <c r="E142" i="8"/>
  <c r="E141" i="8"/>
  <c r="E138" i="8"/>
  <c r="E136" i="8"/>
  <c r="E133" i="8"/>
  <c r="E232" i="8"/>
  <c r="E231" i="8"/>
  <c r="E101" i="8"/>
  <c r="E100" i="8"/>
  <c r="E99" i="8"/>
  <c r="E98" i="8"/>
  <c r="E97" i="8"/>
  <c r="E96" i="8"/>
  <c r="E95" i="8"/>
  <c r="E94" i="8"/>
  <c r="E93" i="8"/>
  <c r="E92" i="8"/>
  <c r="E90" i="8"/>
  <c r="E89" i="8"/>
  <c r="E88" i="8"/>
  <c r="E87" i="8"/>
  <c r="E86" i="8"/>
  <c r="E85" i="8"/>
  <c r="E81" i="8" l="1"/>
  <c r="E14" i="8"/>
  <c r="J78" i="4"/>
  <c r="K78" i="4"/>
  <c r="I78" i="4"/>
  <c r="D82" i="4"/>
  <c r="C82" i="4"/>
  <c r="B82" i="4"/>
  <c r="K17" i="4" l="1"/>
  <c r="J17" i="4"/>
  <c r="J92" i="4" l="1"/>
  <c r="K92" i="4"/>
  <c r="I92" i="4"/>
  <c r="J16" i="4"/>
  <c r="K16" i="4"/>
  <c r="J15" i="4"/>
  <c r="D94" i="4"/>
  <c r="D111" i="4" s="1"/>
  <c r="C94" i="4"/>
  <c r="C111" i="4" s="1"/>
  <c r="B94" i="4"/>
  <c r="B111" i="4" s="1"/>
  <c r="D43" i="4" l="1"/>
  <c r="C43" i="4"/>
  <c r="E262" i="8" l="1"/>
  <c r="K241" i="8" l="1"/>
  <c r="K321" i="8"/>
  <c r="I241" i="8"/>
  <c r="I321" i="8"/>
  <c r="J321" i="8"/>
  <c r="J241" i="8"/>
  <c r="E56" i="10"/>
  <c r="E264" i="8"/>
  <c r="E233" i="8"/>
  <c r="K65" i="4" l="1"/>
  <c r="J65" i="4"/>
  <c r="I65" i="4"/>
  <c r="K51" i="4"/>
  <c r="J51" i="4"/>
  <c r="I51" i="4"/>
  <c r="K50" i="4"/>
  <c r="J50" i="4"/>
  <c r="I50" i="4"/>
  <c r="K49" i="4"/>
  <c r="J49" i="4"/>
  <c r="K15" i="4"/>
  <c r="J14" i="4"/>
  <c r="J18" i="4" s="1"/>
  <c r="K14" i="4"/>
  <c r="K18" i="4" l="1"/>
  <c r="J52" i="4"/>
  <c r="I52" i="4"/>
  <c r="K52" i="4"/>
  <c r="I67" i="4"/>
  <c r="K159" i="8" l="1"/>
  <c r="K163" i="8" s="1"/>
  <c r="J159" i="8"/>
  <c r="J163" i="8" s="1"/>
  <c r="I159" i="8"/>
  <c r="I163" i="8" s="1"/>
  <c r="K67" i="4" l="1"/>
  <c r="J67" i="4"/>
  <c r="E238" i="8" l="1"/>
  <c r="E239" i="8"/>
  <c r="D7" i="1" l="1"/>
  <c r="C7" i="1"/>
  <c r="B7" i="1"/>
  <c r="E261" i="8" l="1"/>
  <c r="E260" i="8"/>
  <c r="E277" i="8" l="1"/>
  <c r="E271" i="8"/>
  <c r="E270" i="8"/>
  <c r="E269" i="8"/>
  <c r="E228" i="8" l="1"/>
  <c r="E168" i="8"/>
  <c r="E167" i="8"/>
  <c r="E166" i="8"/>
  <c r="E164" i="8"/>
  <c r="E163" i="8"/>
  <c r="E162" i="8"/>
  <c r="E161" i="8"/>
  <c r="E46" i="10"/>
  <c r="E55" i="10" l="1"/>
  <c r="E78" i="8"/>
  <c r="E135" i="8"/>
  <c r="E107" i="8" l="1"/>
  <c r="E91" i="8" l="1"/>
  <c r="E84" i="8"/>
  <c r="E79" i="8"/>
  <c r="E80" i="8"/>
  <c r="E82" i="8"/>
  <c r="E59" i="8"/>
  <c r="E60" i="8"/>
  <c r="E61" i="8"/>
  <c r="E44" i="8"/>
  <c r="E43" i="8"/>
  <c r="E42" i="8"/>
  <c r="E36" i="8"/>
  <c r="C109" i="4" l="1"/>
  <c r="B109" i="4" l="1"/>
  <c r="B15" i="7" s="1"/>
  <c r="C15" i="7"/>
  <c r="D100" i="4"/>
  <c r="C100" i="4"/>
  <c r="C110" i="4"/>
  <c r="C21" i="7" s="1"/>
  <c r="B110" i="4"/>
  <c r="B21" i="7" s="1"/>
  <c r="I18" i="4"/>
  <c r="J77" i="4"/>
  <c r="K77" i="4"/>
  <c r="I77" i="4"/>
  <c r="D109" i="4" l="1"/>
  <c r="D110" i="4"/>
  <c r="D21" i="7" l="1"/>
  <c r="D15" i="7"/>
  <c r="C10" i="1" l="1"/>
  <c r="D10" i="1"/>
  <c r="B10" i="1"/>
  <c r="E8" i="1"/>
  <c r="E215" i="8" l="1"/>
  <c r="B290" i="8" l="1"/>
  <c r="D296" i="8"/>
  <c r="K295" i="8" s="1"/>
  <c r="K320" i="8" s="1"/>
  <c r="C296" i="8"/>
  <c r="J295" i="8" s="1"/>
  <c r="J320" i="8" s="1"/>
  <c r="D290" i="8"/>
  <c r="E230" i="8"/>
  <c r="E229" i="8"/>
  <c r="E227" i="8"/>
  <c r="E226" i="8"/>
  <c r="E134" i="8"/>
  <c r="E132" i="8"/>
  <c r="E131" i="8"/>
  <c r="E102" i="8"/>
  <c r="E103" i="8"/>
  <c r="E104" i="8"/>
  <c r="E105" i="8"/>
  <c r="K290" i="8" l="1"/>
  <c r="D306" i="8"/>
  <c r="I290" i="8"/>
  <c r="B306" i="8"/>
  <c r="E296" i="8"/>
  <c r="I325" i="8" l="1"/>
  <c r="I298" i="8"/>
  <c r="K325" i="8"/>
  <c r="K298" i="8"/>
  <c r="C157" i="4"/>
  <c r="C152" i="4" s="1"/>
  <c r="J101" i="4"/>
  <c r="K101" i="4"/>
  <c r="I101" i="4"/>
  <c r="D152" i="4"/>
  <c r="B152" i="4"/>
  <c r="C38" i="1"/>
  <c r="C27" i="1"/>
  <c r="J102" i="4" l="1"/>
  <c r="J167" i="4"/>
  <c r="I102" i="4"/>
  <c r="I167" i="4"/>
  <c r="K102" i="4"/>
  <c r="K167" i="4"/>
  <c r="K153" i="4"/>
  <c r="I153" i="4"/>
  <c r="J153" i="4"/>
  <c r="E256" i="8" l="1"/>
  <c r="E257" i="8"/>
  <c r="E258" i="8"/>
  <c r="E259" i="8"/>
  <c r="E263" i="8"/>
  <c r="E156" i="8"/>
  <c r="E158" i="8"/>
  <c r="E159" i="8"/>
  <c r="E160" i="8"/>
  <c r="E165" i="8"/>
  <c r="E291" i="8" l="1"/>
  <c r="C290" i="8"/>
  <c r="J290" i="8" l="1"/>
  <c r="C306" i="8"/>
  <c r="E83" i="8"/>
  <c r="E106" i="8"/>
  <c r="J325" i="8" l="1"/>
  <c r="J298" i="8"/>
  <c r="E58" i="8"/>
  <c r="E57" i="8"/>
  <c r="E56" i="8"/>
  <c r="E268" i="8" l="1"/>
  <c r="E216" i="8"/>
  <c r="E139" i="8"/>
  <c r="E140" i="8"/>
  <c r="E144" i="8"/>
  <c r="E137" i="8"/>
  <c r="E214" i="8" l="1"/>
  <c r="E45" i="8"/>
  <c r="E9" i="8"/>
  <c r="E10" i="8"/>
  <c r="E11" i="8"/>
  <c r="E12" i="8"/>
  <c r="E13" i="8"/>
  <c r="E15" i="8"/>
  <c r="E16" i="8"/>
  <c r="E17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70" i="8"/>
  <c r="C103" i="4"/>
  <c r="C112" i="4" s="1"/>
  <c r="C25" i="7" s="1"/>
  <c r="C24" i="7" s="1"/>
  <c r="B100" i="4"/>
  <c r="B103" i="4" s="1"/>
  <c r="C86" i="10"/>
  <c r="C12" i="7" s="1"/>
  <c r="B86" i="10"/>
  <c r="B12" i="7" s="1"/>
  <c r="E29" i="10"/>
  <c r="B112" i="4" l="1"/>
  <c r="B25" i="7" s="1"/>
  <c r="B24" i="7" s="1"/>
  <c r="K67" i="8"/>
  <c r="K319" i="8" s="1"/>
  <c r="J67" i="8"/>
  <c r="J319" i="8" s="1"/>
  <c r="I67" i="8"/>
  <c r="I319" i="8" s="1"/>
  <c r="I330" i="8" s="1"/>
  <c r="E69" i="8"/>
  <c r="D103" i="4"/>
  <c r="D112" i="4" s="1"/>
  <c r="D25" i="7" s="1"/>
  <c r="D24" i="7" s="1"/>
  <c r="E24" i="10"/>
  <c r="E43" i="10" l="1"/>
  <c r="E7" i="1"/>
  <c r="C117" i="4"/>
  <c r="D117" i="4"/>
  <c r="B117" i="4"/>
  <c r="C122" i="4"/>
  <c r="D122" i="4"/>
  <c r="B122" i="4"/>
  <c r="C123" i="4"/>
  <c r="D123" i="4"/>
  <c r="B123" i="4"/>
  <c r="E278" i="8"/>
  <c r="I301" i="8"/>
  <c r="D85" i="10"/>
  <c r="B85" i="10"/>
  <c r="B88" i="10" s="1"/>
  <c r="E301" i="8"/>
  <c r="E297" i="8"/>
  <c r="E295" i="8"/>
  <c r="E255" i="8"/>
  <c r="E8" i="8"/>
  <c r="D120" i="4"/>
  <c r="C120" i="4"/>
  <c r="B120" i="4"/>
  <c r="D119" i="4"/>
  <c r="C119" i="4"/>
  <c r="B119" i="4"/>
  <c r="C58" i="4"/>
  <c r="C108" i="4" s="1"/>
  <c r="C11" i="7" s="1"/>
  <c r="D58" i="4"/>
  <c r="D108" i="4" s="1"/>
  <c r="D11" i="7" s="1"/>
  <c r="B58" i="4"/>
  <c r="B108" i="4" s="1"/>
  <c r="B11" i="7" s="1"/>
  <c r="D7" i="7" l="1"/>
  <c r="B38" i="7"/>
  <c r="B7" i="7"/>
  <c r="K301" i="8"/>
  <c r="J301" i="8"/>
  <c r="B315" i="8"/>
  <c r="B27" i="7" s="1"/>
  <c r="B26" i="7" s="1"/>
  <c r="C118" i="4"/>
  <c r="B314" i="8"/>
  <c r="B20" i="7" s="1"/>
  <c r="D314" i="8"/>
  <c r="D20" i="7" s="1"/>
  <c r="C314" i="8"/>
  <c r="C20" i="7" s="1"/>
  <c r="B313" i="8"/>
  <c r="B18" i="7" s="1"/>
  <c r="B17" i="7" s="1"/>
  <c r="C312" i="8"/>
  <c r="C14" i="7" s="1"/>
  <c r="C13" i="7" s="1"/>
  <c r="D312" i="8"/>
  <c r="D14" i="7" s="1"/>
  <c r="E247" i="8"/>
  <c r="B312" i="8"/>
  <c r="B14" i="7" s="1"/>
  <c r="B13" i="7" s="1"/>
  <c r="E292" i="8"/>
  <c r="E130" i="8"/>
  <c r="E298" i="8"/>
  <c r="E290" i="8"/>
  <c r="E266" i="8"/>
  <c r="E7" i="8"/>
  <c r="D310" i="8"/>
  <c r="E55" i="8"/>
  <c r="B121" i="4"/>
  <c r="D107" i="4"/>
  <c r="D6" i="7" s="1"/>
  <c r="D121" i="4"/>
  <c r="D118" i="4"/>
  <c r="E58" i="10"/>
  <c r="D86" i="10"/>
  <c r="D12" i="7" s="1"/>
  <c r="E36" i="10"/>
  <c r="C85" i="10"/>
  <c r="C121" i="4"/>
  <c r="B107" i="4"/>
  <c r="B6" i="7" s="1"/>
  <c r="B118" i="4"/>
  <c r="C107" i="4"/>
  <c r="C6" i="7" s="1"/>
  <c r="C15" i="1"/>
  <c r="C10" i="7" s="1"/>
  <c r="B15" i="1"/>
  <c r="B10" i="7" s="1"/>
  <c r="D5" i="7" l="1"/>
  <c r="D19" i="7"/>
  <c r="B19" i="7"/>
  <c r="C19" i="7"/>
  <c r="E85" i="10"/>
  <c r="C7" i="7"/>
  <c r="J302" i="8"/>
  <c r="C116" i="4"/>
  <c r="I156" i="4"/>
  <c r="I160" i="4" s="1"/>
  <c r="J156" i="4"/>
  <c r="K156" i="4"/>
  <c r="K160" i="4" s="1"/>
  <c r="D13" i="7"/>
  <c r="C38" i="7"/>
  <c r="I302" i="8"/>
  <c r="E302" i="8"/>
  <c r="C310" i="8"/>
  <c r="B310" i="8"/>
  <c r="D38" i="7"/>
  <c r="E86" i="10"/>
  <c r="C313" i="8"/>
  <c r="C18" i="7" s="1"/>
  <c r="C17" i="7" s="1"/>
  <c r="C315" i="8"/>
  <c r="C27" i="7" s="1"/>
  <c r="C26" i="7" s="1"/>
  <c r="E285" i="8"/>
  <c r="E218" i="8"/>
  <c r="E72" i="8"/>
  <c r="E312" i="8"/>
  <c r="B116" i="4"/>
  <c r="D116" i="4"/>
  <c r="D4" i="7"/>
  <c r="E237" i="8"/>
  <c r="E314" i="8"/>
  <c r="B5" i="7" l="1"/>
  <c r="C5" i="7"/>
  <c r="C4" i="7" s="1"/>
  <c r="E88" i="10"/>
  <c r="J160" i="4"/>
  <c r="D37" i="7"/>
  <c r="B16" i="1"/>
  <c r="B36" i="7" s="1"/>
  <c r="B4" i="7"/>
  <c r="E310" i="8"/>
  <c r="K330" i="8"/>
  <c r="K302" i="8"/>
  <c r="J330" i="8"/>
  <c r="C311" i="8"/>
  <c r="C316" i="8" s="1"/>
  <c r="D311" i="8"/>
  <c r="C37" i="7"/>
  <c r="B37" i="7"/>
  <c r="E123" i="8"/>
  <c r="E306" i="8"/>
  <c r="D315" i="8"/>
  <c r="D27" i="7" s="1"/>
  <c r="D26" i="7" s="1"/>
  <c r="C16" i="1"/>
  <c r="C36" i="7" s="1"/>
  <c r="E10" i="1"/>
  <c r="D15" i="1"/>
  <c r="E241" i="8"/>
  <c r="D313" i="8"/>
  <c r="D18" i="7" s="1"/>
  <c r="D17" i="7" s="1"/>
  <c r="D9" i="7" l="1"/>
  <c r="D316" i="8"/>
  <c r="D16" i="1"/>
  <c r="D36" i="7" s="1"/>
  <c r="D10" i="7"/>
  <c r="C35" i="7"/>
  <c r="C39" i="7" s="1"/>
  <c r="C9" i="7"/>
  <c r="C8" i="7" s="1"/>
  <c r="C28" i="7" s="1"/>
  <c r="E311" i="8"/>
  <c r="E315" i="8"/>
  <c r="E15" i="1"/>
  <c r="E313" i="8"/>
  <c r="D8" i="7" l="1"/>
  <c r="D28" i="7" s="1"/>
  <c r="C39" i="1"/>
  <c r="C40" i="1" s="1"/>
  <c r="E16" i="1"/>
  <c r="E316" i="8"/>
  <c r="D35" i="7"/>
  <c r="D39" i="7" s="1"/>
  <c r="B311" i="8"/>
  <c r="B9" i="7" l="1"/>
  <c r="B8" i="7" s="1"/>
  <c r="B28" i="7" s="1"/>
  <c r="B316" i="8"/>
  <c r="B35" i="7" s="1"/>
  <c r="B39" i="7" s="1"/>
</calcChain>
</file>

<file path=xl/sharedStrings.xml><?xml version="1.0" encoding="utf-8"?>
<sst xmlns="http://schemas.openxmlformats.org/spreadsheetml/2006/main" count="1054" uniqueCount="414">
  <si>
    <t>schválený rozpočet</t>
  </si>
  <si>
    <t>upravený rozpočet</t>
  </si>
  <si>
    <t>ORG</t>
  </si>
  <si>
    <t>Celkem</t>
  </si>
  <si>
    <t>skutečnost</t>
  </si>
  <si>
    <t>název akce</t>
  </si>
  <si>
    <t xml:space="preserve"> %</t>
  </si>
  <si>
    <t>oblast školství</t>
  </si>
  <si>
    <t>oblast kultury</t>
  </si>
  <si>
    <t>oblast sociální</t>
  </si>
  <si>
    <t>oblast zdravotnictví</t>
  </si>
  <si>
    <t>oblast dopravy</t>
  </si>
  <si>
    <t>Rekapitulace:</t>
  </si>
  <si>
    <t xml:space="preserve"> - oblast dopravy</t>
  </si>
  <si>
    <t xml:space="preserve"> - oblast zdravotnictví</t>
  </si>
  <si>
    <t xml:space="preserve"> - oblast sociální</t>
  </si>
  <si>
    <t xml:space="preserve"> - oblast školství</t>
  </si>
  <si>
    <t xml:space="preserve"> - oblast kultury</t>
  </si>
  <si>
    <t>v Kč</t>
  </si>
  <si>
    <t>ORG 60004</t>
  </si>
  <si>
    <t>ORG 6005</t>
  </si>
  <si>
    <t>ORG 6002</t>
  </si>
  <si>
    <t>ORG 6001</t>
  </si>
  <si>
    <t>a) Financovano z úvěrového rámce Evropské investiční banky ( 3 000 tis.Kč)</t>
  </si>
  <si>
    <t>1. Oblast školství</t>
  </si>
  <si>
    <t>a) akce zajišťované odborem investic a evropských programů</t>
  </si>
  <si>
    <t>b) akce zajišťované příspěvkovými organizacemi</t>
  </si>
  <si>
    <t xml:space="preserve">Oblast školství celkem </t>
  </si>
  <si>
    <t xml:space="preserve">Oblast sociální celkem </t>
  </si>
  <si>
    <t>2. Oblast sociální</t>
  </si>
  <si>
    <t xml:space="preserve">Oblast kultury celkem </t>
  </si>
  <si>
    <t xml:space="preserve">Oblast zdravotnictví celkem </t>
  </si>
  <si>
    <t xml:space="preserve">Oblast dopravy celkem </t>
  </si>
  <si>
    <t xml:space="preserve"> - rozpočet kraje</t>
  </si>
  <si>
    <t xml:space="preserve"> - úvěr KB</t>
  </si>
  <si>
    <t xml:space="preserve"> - úvěr EIB</t>
  </si>
  <si>
    <t>oblast krajské správy</t>
  </si>
  <si>
    <t>CELKEM</t>
  </si>
  <si>
    <t xml:space="preserve">Rekapitulace dle zdrojů: </t>
  </si>
  <si>
    <t>rozpočet Olomouckého kraje</t>
  </si>
  <si>
    <t>úvěrový rámec KB</t>
  </si>
  <si>
    <t>úvěrový rámec EIB</t>
  </si>
  <si>
    <t>1/ akce zajišťované Olomouckým krajem</t>
  </si>
  <si>
    <t>2/ akce zajišťované příspěvkovými organizacemi Olomouckého kraje</t>
  </si>
  <si>
    <t>b) Financovano z úvěrového rámce Komerční banky, a.s. ( 700 tis.Kč)</t>
  </si>
  <si>
    <t xml:space="preserve">2. Oblast sociální </t>
  </si>
  <si>
    <t>4. Oblast kultury</t>
  </si>
  <si>
    <t>3. Oblast dopravy</t>
  </si>
  <si>
    <t>b/ akce zajišťované příspěvkovými organizacemi</t>
  </si>
  <si>
    <t>100523</t>
  </si>
  <si>
    <t>100540</t>
  </si>
  <si>
    <t xml:space="preserve">5. Oblast zdravotnictví </t>
  </si>
  <si>
    <t>oblast zdravotnictví - nájemné NOK</t>
  </si>
  <si>
    <t>kancelář hejtmana</t>
  </si>
  <si>
    <t>kancelář ředitele</t>
  </si>
  <si>
    <t>odbor informačních technologií</t>
  </si>
  <si>
    <t>odbor strategického rozvoje kraje</t>
  </si>
  <si>
    <t>Investiční výdaje odborů</t>
  </si>
  <si>
    <t xml:space="preserve">  - investiční výdaje odborů</t>
  </si>
  <si>
    <t xml:space="preserve">UZ </t>
  </si>
  <si>
    <t>UZ</t>
  </si>
  <si>
    <t>100470</t>
  </si>
  <si>
    <t>ORJ 17</t>
  </si>
  <si>
    <t>ORJ 17 zaplatilo 40000Kč z POU1011572 z UZ 12 z EIB</t>
  </si>
  <si>
    <t>zůstalo na ORJ 59</t>
  </si>
  <si>
    <t xml:space="preserve"> zůstalo na ORJ 50</t>
  </si>
  <si>
    <t>zapojit od rozpočtu 2012</t>
  </si>
  <si>
    <t>8115 -2012</t>
  </si>
  <si>
    <t>jako RZ 18/12 ze dne 7.2.2012</t>
  </si>
  <si>
    <t>Nové Zámky - poskytovatel sociálních služeb  - komunikace a zpevněné plochy</t>
  </si>
  <si>
    <t>Brodek u Prostějova - okružní křižovatka</t>
  </si>
  <si>
    <t>Mohelnice - křížení s železniční tratí</t>
  </si>
  <si>
    <t>Stavební úpravy křižovatky u žel. přejezdu na ul. Olomoucká, Prostějov</t>
  </si>
  <si>
    <t>Prostějov - přeložka silnice II/366 od Tesca</t>
  </si>
  <si>
    <t xml:space="preserve">c) Financováno z rozpočtu Olomouckého kraje </t>
  </si>
  <si>
    <t>c) akce zajišťované odborem majetkovým a právním</t>
  </si>
  <si>
    <t>Dostavba budovy Slovanského gymnázia Olomouc</t>
  </si>
  <si>
    <t>Nový pavilon areálu Domov pro seniory Radkova Lhota</t>
  </si>
  <si>
    <t xml:space="preserve">II/447, II/446, III/44621 Pňovice - průtah </t>
  </si>
  <si>
    <t>Čechy - Domaželice - obchvat</t>
  </si>
  <si>
    <t>oblast informačních technologií</t>
  </si>
  <si>
    <t>Rozvoj služeb eGovernmentu</t>
  </si>
  <si>
    <t>PO</t>
  </si>
  <si>
    <t xml:space="preserve"> - oblast informačních technologií</t>
  </si>
  <si>
    <t xml:space="preserve">Oblast informačních technologií celkem </t>
  </si>
  <si>
    <t>Energeticky úsporná opatření - SŠ polygrafická Olomouc</t>
  </si>
  <si>
    <t>Realizace energeticky úsporných opatření - VOŠ a SŠ automobilní Zábřeh</t>
  </si>
  <si>
    <t>Realizace energeticky úsporných opatření - SŠ zemědělská Olomouc domov mládeže</t>
  </si>
  <si>
    <t>Realizace energeticky úsporných opatření - ZŠ a MŠ logopedická Olomouc</t>
  </si>
  <si>
    <t>Centrum vzdělávání na SPŠ strojnické Olomouc</t>
  </si>
  <si>
    <t>Realizace energeticky úsporných opatření - Obchodní akademie Přerov</t>
  </si>
  <si>
    <t>Realizace energeticky úsporných opatření - Gymnázium Jeseník</t>
  </si>
  <si>
    <t>Realizace energeticky úsporných opatření - SŠ zemědělská Přerov</t>
  </si>
  <si>
    <t>Realizace energeticky úsporných opatření - VOŠ a SPŠE - Olomouc</t>
  </si>
  <si>
    <t>Realizace energeticky úsporných opatření - Gymnázium,Olomouc, Čajkovského 9</t>
  </si>
  <si>
    <t>Realizace energeticky úsporných opatření - SŠ Švehlova Prostějov</t>
  </si>
  <si>
    <t>Realizace energeticky úsporných opatření - SŠ designu a módy Prostějov - domov mládeže Palečkova</t>
  </si>
  <si>
    <t>Realizace energeticky úsporných opatření - SŠ zemědělská Olomouc budova školy</t>
  </si>
  <si>
    <t>Realizace energeticky úsporných opatření - VOŠ a SŠ automobilní Zábřeh - domov mládeže</t>
  </si>
  <si>
    <t>Realizace energeticky úsporných opatření - Sigmundova střední škola strojírenská, Lutín - budova školy</t>
  </si>
  <si>
    <t>Realizace energeticky úsporných opatření - Sigmundova střední škola strojírenská, Lutín - domov mládeže</t>
  </si>
  <si>
    <t>Realizace energeticky úsporných opatření - Gymnázium Uničov</t>
  </si>
  <si>
    <t>Realizace energeticky úsporných opatření - VOŠ a SPŠ Šumperk - budova školy</t>
  </si>
  <si>
    <t>Realizace energeticky úsporných opatření - VOŠ a SPŠ Šumperk - domov mládeže</t>
  </si>
  <si>
    <t>Realizace energeticky úsporných opatření - VOŠ a SPŠ Šumperk - tělocvična</t>
  </si>
  <si>
    <t>Realizace energeticky úsporných opatření - SOŠ Šumperk - domov mládeže</t>
  </si>
  <si>
    <t>Podpora technického vybavení dílen - 1. část</t>
  </si>
  <si>
    <t>Podpora technického vybavení dílen - 2. část</t>
  </si>
  <si>
    <t>ORJ 10</t>
  </si>
  <si>
    <t>ORJ 04</t>
  </si>
  <si>
    <t>ORJ 59</t>
  </si>
  <si>
    <t>100494</t>
  </si>
  <si>
    <t>100497</t>
  </si>
  <si>
    <t>100550</t>
  </si>
  <si>
    <t>Realizace energeticky úsporných opatření - Sociální služby pro seniory Olomouc - ubytovací část</t>
  </si>
  <si>
    <t>Realizace energeticky úsporných opatření - Domov důchodců Šumperk</t>
  </si>
  <si>
    <t>Realizace energeticky úsporných opatření - Penzion pro důchodce Loštice</t>
  </si>
  <si>
    <t>Realizace energeticky úsporných opatření - Domov seniorů POHODA Chválkovice - pavilony A a B</t>
  </si>
  <si>
    <t>II/570 Hněvotín - rekonstrukce silnice</t>
  </si>
  <si>
    <t>Vypořádání staveb po jejich dokončení z minulých let - výkupy pozemků a jiné</t>
  </si>
  <si>
    <t>III/44317 Velká Bystřice – okružní křižovatka</t>
  </si>
  <si>
    <t>II/315 a III/31527 Zábřeh na Moravě - okružní křižovatka ul. Postřelmovská, Čsl. armády</t>
  </si>
  <si>
    <t>Vlastivědné muzeum v Olomouci - Arboretum Bílá Lhota - zázemí a zemědělské muzeum</t>
  </si>
  <si>
    <t>Realizace energeticky úsporných opatření - SMN a.s. - o.z. Nemocnice Přerov-pavilon interních oborů</t>
  </si>
  <si>
    <t>Realizace energeticky úsporných opatření - SMN a.s. - o.z. Nemocnice Přerov - LDN</t>
  </si>
  <si>
    <t>Realizace energeticky úsporných opatření - SMN a.s. - o.z. Nemocnice Šternberk -pavilon pro dlouhodobě nemocné</t>
  </si>
  <si>
    <t>SMN a.s. - o.z. Nemocnice Přerov - modernizace pavilonu operačních oborů - I. etapa</t>
  </si>
  <si>
    <t>odbor investic a evropských programů</t>
  </si>
  <si>
    <t>RZ - 8123</t>
  </si>
  <si>
    <t>zapojit do roku 2013</t>
  </si>
  <si>
    <t>poznámky</t>
  </si>
  <si>
    <t>8115 - 2012</t>
  </si>
  <si>
    <t>8123 - 2012</t>
  </si>
  <si>
    <t>2229 - 2012</t>
  </si>
  <si>
    <t>SSOK</t>
  </si>
  <si>
    <t>OŠMT</t>
  </si>
  <si>
    <t>UZ 888</t>
  </si>
  <si>
    <t>8115- 2013</t>
  </si>
  <si>
    <t xml:space="preserve">vratky z roku 2012 budeme zapojovat samostatně </t>
  </si>
  <si>
    <t>zapojeno</t>
  </si>
  <si>
    <t>má být zapojeno</t>
  </si>
  <si>
    <t>výdaje 2012 ze dne 9.1.2013</t>
  </si>
  <si>
    <t>výdaje 2012 ze dne 21.1.2014</t>
  </si>
  <si>
    <t>PO - UZ 886</t>
  </si>
  <si>
    <t>PO - UZ 870 - SSOK</t>
  </si>
  <si>
    <t>ORJ 50</t>
  </si>
  <si>
    <t>ORG 60009</t>
  </si>
  <si>
    <t>Domov seniorů POHODA Chválkovice - rekonstrukce budovy B</t>
  </si>
  <si>
    <t>Orj 03</t>
  </si>
  <si>
    <t>Orj 06</t>
  </si>
  <si>
    <t>Orj 08</t>
  </si>
  <si>
    <t>Orj 14</t>
  </si>
  <si>
    <t>Uničov - Šternberk - II/444</t>
  </si>
  <si>
    <t>III/43510 Blatec - průtah</t>
  </si>
  <si>
    <t>III/36719 Pivín - rekonstrukce silnice</t>
  </si>
  <si>
    <t>Dub nad Moravou - hranice krajů OL/ZL silnice II/150 - Želátovice - Dřevohostice</t>
  </si>
  <si>
    <t>Valšovský Žleb - Dlouhá Loučka - II/449</t>
  </si>
  <si>
    <t>Realizace energeticky úsporných opatření - SOŠ gastronomie a potravinářství Jeseník</t>
  </si>
  <si>
    <t>Transformace Vincentina Šternberk - I. Etapa</t>
  </si>
  <si>
    <t>ORJ 8</t>
  </si>
  <si>
    <t>ORJ 14</t>
  </si>
  <si>
    <t>Domov "Na Zámku" Nezamyslice - sanace vlhkého zdiva</t>
  </si>
  <si>
    <t>II/434, II/437 Lipník nad Bečvou - okružní křižovatka</t>
  </si>
  <si>
    <t>III/44429 Šternberk, Hvězdné údolí, I. etapa</t>
  </si>
  <si>
    <t>II/369 Ostružná – Branná – rekonstrukce komunikace</t>
  </si>
  <si>
    <t>Zdravotnická záchranná služba OK, výjezdové stanoviště Šternberk - kotelna, přípojka, kanalizace</t>
  </si>
  <si>
    <t>akce zajišťované odborem investic a evropských programů</t>
  </si>
  <si>
    <t>EUO - SŠ polygrafická Olomouc</t>
  </si>
  <si>
    <t>Realizace energeticky úsporných opatření - Slovanské gymnázium Olomouc</t>
  </si>
  <si>
    <t>ORJ 52</t>
  </si>
  <si>
    <t>Realizace energeticky úsporných opatření – Střední škola polytechnická Olomouc</t>
  </si>
  <si>
    <t>Energetická úspora na objektu Gymnázia Šternberk</t>
  </si>
  <si>
    <t>Modernizace dílen Střední školy železniční a stavební, Šumperk, Bulharská 8</t>
  </si>
  <si>
    <t>4. Oblast zdravotnictví</t>
  </si>
  <si>
    <t>100849</t>
  </si>
  <si>
    <t>Nové Zámky - poskytovatel sociálních služeb - výměna oken a rekonstrukce venkovního omítkového pláště</t>
  </si>
  <si>
    <t>II/150 Dub nad Moravou – hranice okresu PV – rekonstrukce silnice</t>
  </si>
  <si>
    <t>II/439 Ústí - průtah a hranice okr. VS</t>
  </si>
  <si>
    <t>II/449 Senice - průtah</t>
  </si>
  <si>
    <t>III/44029 Drahotuše - průtah</t>
  </si>
  <si>
    <t>III/37354 Holubice - Hrochov</t>
  </si>
  <si>
    <t>II/433, III/36711 Výšovice průtah</t>
  </si>
  <si>
    <t>III/3679 Čechůvky – Kralice na Hané</t>
  </si>
  <si>
    <t>III/43415 Radslavice – Grymov</t>
  </si>
  <si>
    <t>Silnice II/444 Uničov – Šternberk, intravilány obcí</t>
  </si>
  <si>
    <t>SMN a. s. – o. z. Nemocnice Přerov – modernizace pavilonu radiodiagnostiky</t>
  </si>
  <si>
    <t>6. Investiční výdaje odborů</t>
  </si>
  <si>
    <t xml:space="preserve"> - projekty financované metodou EPC</t>
  </si>
  <si>
    <t>PO UZ 24, Pol. 6351</t>
  </si>
  <si>
    <t>PO UZ 24, Pol. 5331</t>
  </si>
  <si>
    <t xml:space="preserve"> - technické zhodnocení budov KÚOK </t>
  </si>
  <si>
    <t>Rekonstrukce zahrady v Domově důchodců Červenka</t>
  </si>
  <si>
    <t>100530</t>
  </si>
  <si>
    <t>100325</t>
  </si>
  <si>
    <t>Domov Větrný mlýn Skalička - revitalizace zámeckého parku</t>
  </si>
  <si>
    <t>ORJ 59, UZ 88x</t>
  </si>
  <si>
    <t>d) Financováno z účelové dotace poskytnuté ze státního rozpočtu a ROP Střední Morava</t>
  </si>
  <si>
    <t>účelové dotace</t>
  </si>
  <si>
    <t xml:space="preserve"> - účelové dotace</t>
  </si>
  <si>
    <t>akce zajišťované příslušnými odbory</t>
  </si>
  <si>
    <t>akce zajišťované odborem investic a evropských programů - účelová dotace z MŽP, SFŽP a ROP Střední Morava</t>
  </si>
  <si>
    <t>Strojní vybavení dílen pro praktickou výuku (SOŠ a SOU Uničov)</t>
  </si>
  <si>
    <t>Technické vybavení dílen Střední škola polygrafická Olomouc</t>
  </si>
  <si>
    <t>Rekonstrukce pavilonu CSS Prostějov – zřízení zařízení pro nemocné Alzeimerovou chorobou</t>
  </si>
  <si>
    <t>6. Oblast informačních technologií</t>
  </si>
  <si>
    <t>ORG 60008</t>
  </si>
  <si>
    <t>5. Oblast krizového řízení</t>
  </si>
  <si>
    <t>Oblast krizového řízení</t>
  </si>
  <si>
    <t>Oblast krizového řízení celkem</t>
  </si>
  <si>
    <t xml:space="preserve">Krajský standardizovaný projekt ZZS Olomouckého kraje </t>
  </si>
  <si>
    <t xml:space="preserve"> - oblast krizového řízení</t>
  </si>
  <si>
    <t xml:space="preserve">1. Oblast sociální </t>
  </si>
  <si>
    <t>8. Investiční akce Olomouckého kraje 2014</t>
  </si>
  <si>
    <t>VOŠ a SPŠ elektrotechnická Olomouc - školní tělocvična</t>
  </si>
  <si>
    <t>100352</t>
  </si>
  <si>
    <t>Pasportizace objektů příspěvkových organizací</t>
  </si>
  <si>
    <t>100403</t>
  </si>
  <si>
    <t>100474</t>
  </si>
  <si>
    <t xml:space="preserve">Dům seniorů FRANTIŠEK Náměšť na Hané - přístavba pavilonu </t>
  </si>
  <si>
    <t>100690</t>
  </si>
  <si>
    <t>100754</t>
  </si>
  <si>
    <t>100755</t>
  </si>
  <si>
    <t>100756</t>
  </si>
  <si>
    <t>100766</t>
  </si>
  <si>
    <t>100801</t>
  </si>
  <si>
    <t>100847</t>
  </si>
  <si>
    <t>100851</t>
  </si>
  <si>
    <t>100854</t>
  </si>
  <si>
    <t>100893</t>
  </si>
  <si>
    <t>100894</t>
  </si>
  <si>
    <t>100895</t>
  </si>
  <si>
    <t>100896</t>
  </si>
  <si>
    <t>100897</t>
  </si>
  <si>
    <t>100909</t>
  </si>
  <si>
    <t>Domov Na zámečku Rokytnice - výměna kabelu hlavního přívodu</t>
  </si>
  <si>
    <t>100910</t>
  </si>
  <si>
    <t>Domov Sněženka Jeseník - výměna oken a mříží</t>
  </si>
  <si>
    <t>100911</t>
  </si>
  <si>
    <t>III/37349 Ptení - obchvat</t>
  </si>
  <si>
    <t>III/44436 Bělkovice - Lašťany - obchvat</t>
  </si>
  <si>
    <t>III/4345 Klenovice na Hané - Iváň</t>
  </si>
  <si>
    <t>II/369 Hanušovice - křižovatka I/11</t>
  </si>
  <si>
    <t>III/37354, III/36618 Horní Štěpánov</t>
  </si>
  <si>
    <t>III/4359, III4353 Velký Týnec - rekonstrukce silnice, IV. Etapa</t>
  </si>
  <si>
    <t>Bělkovice - Lašťany - průtah</t>
  </si>
  <si>
    <t>kř. II/367 - Tovačov</t>
  </si>
  <si>
    <t>Přerov - Doloplazy - kř. II/437</t>
  </si>
  <si>
    <t>OLÚ neurologicko-geriatrický Moravský Beroun - úpravy ploch kolem pavilonu 2</t>
  </si>
  <si>
    <t>ZZS OK - Výjezdové stanoviště Přerov - zateplení budovy</t>
  </si>
  <si>
    <t>ZZS OK - Výjezdové stanoviště Konice - zateplení budovy</t>
  </si>
  <si>
    <t>ORJ 52, UZ 880, 884</t>
  </si>
  <si>
    <t>Realizace energeticky úsporných opatření - SŠ Logistiky a chemie Olomouc</t>
  </si>
  <si>
    <t>ORJ 52, UZ 884</t>
  </si>
  <si>
    <t>ORJ 52, UZ 880</t>
  </si>
  <si>
    <t>Realizace energeticky úsporných opatření - SPŠ Hranice</t>
  </si>
  <si>
    <t>Realizace energeticky úsporných opatření – SŠ sociální péče a služeb Zábřeh</t>
  </si>
  <si>
    <t>Realizace energeticky úsporných opatření – ZŠ a MŠ Hranice</t>
  </si>
  <si>
    <t>Realizace energeticky úsporných opatření – OU a praktická škola Lipová - lázně</t>
  </si>
  <si>
    <t>Realizace energeticky úsporných opatření – SOŠ obchodu a služeb Olomouc</t>
  </si>
  <si>
    <t>Realizace energeticky úsporných opatření – SŠ technická a obchodní Olomouc</t>
  </si>
  <si>
    <t>Realizace energeticky úsporných opatření – SOŠ a SOU Šumperk, Gen. Krátkého 30</t>
  </si>
  <si>
    <t>Realizace energeticky úsporných opatření – Slovanské gymnázium Olomouc - Pasteurova</t>
  </si>
  <si>
    <t>Realizace energeticky úsporných opatření – SOŠ gastronomie a potravinářství - tělocvična</t>
  </si>
  <si>
    <t>Realizace energeticky úsporných opatření – SOŠ a SOU strojírenské a stavební Jeseník - dílny</t>
  </si>
  <si>
    <t>100883</t>
  </si>
  <si>
    <t>Realizace energeticky úsporných opatření – Domov důchodců Prostějov</t>
  </si>
  <si>
    <t>100884</t>
  </si>
  <si>
    <t>Realizace energeticky úsporných opatření – Sociální služby pro seniory Olomouc II</t>
  </si>
  <si>
    <t>Realizace energeticky úsporných opatření - Nemocnice Šternberk – budova ZZS OK</t>
  </si>
  <si>
    <t>Realizace energeticky úsporných opatření – Nemocnice Šternberk – budova gynekologie</t>
  </si>
  <si>
    <t>Realizace energeticky úsporných opatření – Nemocnice Prostějov – budova LDN</t>
  </si>
  <si>
    <t>ORJ 59, UZ 880, 881</t>
  </si>
  <si>
    <t>ORJ 59, UZ 880-4</t>
  </si>
  <si>
    <t>ORJ 59, UZ 881</t>
  </si>
  <si>
    <t>Podpora technického vybavení dílen - 3. část</t>
  </si>
  <si>
    <t>100407</t>
  </si>
  <si>
    <t>100416</t>
  </si>
  <si>
    <t>Domov seniorů POHODA Chválkovice - rekonstrukce budovy A</t>
  </si>
  <si>
    <t>100441</t>
  </si>
  <si>
    <t>ORJ 59, UZ 884</t>
  </si>
  <si>
    <t>100790</t>
  </si>
  <si>
    <t>Centrum sociálních služeb Prostějov - rekonstrukce budovy 6F - zřízení odlehčovací služby a denního stacionáře</t>
  </si>
  <si>
    <t>100823</t>
  </si>
  <si>
    <t>Zámek Čechy pod Kosířem - rekonstrukce a využití objektů, III. etapa</t>
  </si>
  <si>
    <t>Komplexní program modernizace geriatrického oddělení OLÚ Moravský Beroun</t>
  </si>
  <si>
    <t>Pořízení technologického vybavení a vozidel pro ZZS OK</t>
  </si>
  <si>
    <t>ORJ 50, UZ 88x</t>
  </si>
  <si>
    <t>II/436 Přerov - úprava křižovatky silnic, Dluhonská</t>
  </si>
  <si>
    <t>II/433 Prostějov - Mořice</t>
  </si>
  <si>
    <t>II/449 MÚK Unčovice - Litovel</t>
  </si>
  <si>
    <t xml:space="preserve">II/446 Uničov - Strukov </t>
  </si>
  <si>
    <t xml:space="preserve">II/439 Ústí - průtah - hr. okresu Vsetín </t>
  </si>
  <si>
    <t xml:space="preserve">II/150 Prostějov - Přerov </t>
  </si>
  <si>
    <t xml:space="preserve">II/570 Slatinice - Olomouc </t>
  </si>
  <si>
    <t xml:space="preserve">II/447 Strukov - Šternberk </t>
  </si>
  <si>
    <t xml:space="preserve">II/444 kř. R35 Mohelnice - Úsov </t>
  </si>
  <si>
    <t>54190877+54515835</t>
  </si>
  <si>
    <t>38587005+38587505</t>
  </si>
  <si>
    <t xml:space="preserve">výkup pozemků </t>
  </si>
  <si>
    <t>36113899+36513899;36113003+36513003</t>
  </si>
  <si>
    <t>a) akce zajišťované odborem investic a evropských programů - účelová dotace z ROP Střední Morava</t>
  </si>
  <si>
    <t>b) akce zajišťované odborem majetkovým a právním - účelová dotace z MF ČR</t>
  </si>
  <si>
    <t>Odkup pozemků z vlastnictví pana Jaroslava Chytila</t>
  </si>
  <si>
    <t>SMN a.s. - o.z. Nemocnice Prostějov - LDN - ochozy</t>
  </si>
  <si>
    <t>SMN a.s. - o.z. Nemocnice Přerov -  odstavné plochy u lékárny a RDG</t>
  </si>
  <si>
    <t>SMN a.s. - o.z. Nemocnice Přerov - LDN - rekonstrukce koupelen a wc</t>
  </si>
  <si>
    <t>SMN a.s. - o.z. Nemocnice Šternberk - LDN - rozvody topení a vody, výměna radiátorů</t>
  </si>
  <si>
    <t>Vincentinum - poskytovatel sociálních služeb Šternberk, Sadová 7, Šternberk - pořízení dvou osobních automobilů</t>
  </si>
  <si>
    <t>Středisko sociální prevence, Na Vozovce 26, Olomouc - oprava havariního stavu plynových zařízení</t>
  </si>
  <si>
    <t>Vincentinum - poskytovatel sociálních služeb Šternberk, Sadová 7, Šternberk - nákup automobilu pro 8 osob</t>
  </si>
  <si>
    <t>Gymnázium, Čajkovského 9,  Olomouc - oprava a výměna osvětlení ve sportovní hale</t>
  </si>
  <si>
    <t>Slovanské gymnázium, tř. J. z Poděbrad 13,  Olomouc - oprava komínů na historickém objektu školy</t>
  </si>
  <si>
    <t>Gymnázium, Zborovská 293, 753 11 Hranice - školní šatní skříně</t>
  </si>
  <si>
    <t>Střední průmyslová škola strojnická, tř. 17. listopadu 49, Olomouc - nákup 3 kusů svařovacích zdrojů MIG/MAG, 3 kusů svářečských kuklí a hořáků</t>
  </si>
  <si>
    <t>Odborné učiliště, Křenovice 8, Kojetín - úprava ústředního vytápění a oprava vodovodního potrubí, odpadů a kanalizačního potrubí</t>
  </si>
  <si>
    <t>Dům dětí a mládeže, tř. 17. listopadu 47, Olomouc - vybudování schodišťové plošiny</t>
  </si>
  <si>
    <t>Zdravotnická záchranná služba Olomouckého kraje, Aksamitova 8, Olomouc - nákup sanitních vozidel</t>
  </si>
  <si>
    <t>ORJ 14, UZ 14</t>
  </si>
  <si>
    <t>b/ akce zajišťované Správou silnic Olomouckého kraje (ORG 1600)</t>
  </si>
  <si>
    <t>III/37356 Brodek u Konice</t>
  </si>
  <si>
    <t>UZ 12</t>
  </si>
  <si>
    <t>UZ 24</t>
  </si>
  <si>
    <t>II/444 Úsov-Medlov</t>
  </si>
  <si>
    <t>II/635 Příkazy -Olomouc</t>
  </si>
  <si>
    <t>II447 Tři Dvory-průtah</t>
  </si>
  <si>
    <t>II/437 Most ev.437-007, Skoky</t>
  </si>
  <si>
    <t>II/437 Most ev.č. 437-008, Dolní Újezd</t>
  </si>
  <si>
    <t>II/457 Javorník-Mikulovice</t>
  </si>
  <si>
    <t>Most ev. č. 433 - 007 za obcí Němčice nad Hanou</t>
  </si>
  <si>
    <t>Most ev. č. 448 - 003 za obcí Laškov</t>
  </si>
  <si>
    <t>Průtah silnice II/150 obcí Protivanov</t>
  </si>
  <si>
    <t>III/36630 Přemyslovice</t>
  </si>
  <si>
    <t xml:space="preserve"> - Evropský dům v Olomouckém kraji</t>
  </si>
  <si>
    <t xml:space="preserve"> - nákup rozšiřujících modulů diskových polí</t>
  </si>
  <si>
    <t xml:space="preserve"> - nákup licence softwaru: prezentace rozpočtu Olomouckého kraje</t>
  </si>
  <si>
    <t xml:space="preserve"> - generální oprava tří výtahů v hlavní budově (Jeremenkova 40a)</t>
  </si>
  <si>
    <t>6121 UZ 0</t>
  </si>
  <si>
    <t>6121 UZ 24</t>
  </si>
  <si>
    <t xml:space="preserve"> - nákup nového frankovacího stroje NEOPOST</t>
  </si>
  <si>
    <t>6122 UZ 0</t>
  </si>
  <si>
    <t>Orj 02</t>
  </si>
  <si>
    <t xml:space="preserve"> - informační systém VEGA D</t>
  </si>
  <si>
    <t>ORJ 10 UZ 24</t>
  </si>
  <si>
    <t>II/449 křiž. II/366 - MÚK Unčovice</t>
  </si>
  <si>
    <t>II/373 Savín - Chudobín</t>
  </si>
  <si>
    <t>II/644 hr. Okr. Svitavy - Mohelnice</t>
  </si>
  <si>
    <t>II/448 Drahanovice - Olomouc</t>
  </si>
  <si>
    <t xml:space="preserve">II/441 křiž. R35 - hr. Okraje Moravskoslezského </t>
  </si>
  <si>
    <t>III/44317 Hlubočky - domov důchodců</t>
  </si>
  <si>
    <t>III/4465 Horka nad Moravou - Křelov</t>
  </si>
  <si>
    <t>III/035551 Olomouc, ul. Sladkovského, Holická</t>
  </si>
  <si>
    <t>III/37728 Most čv.č. 37728-5 Otinoves</t>
  </si>
  <si>
    <t>II/635 Mohelnice - Litovel</t>
  </si>
  <si>
    <t>II/635 Litovel - Olomouc</t>
  </si>
  <si>
    <t>II/370 Dolní Libina - Mirotínek</t>
  </si>
  <si>
    <t>III/4436 kř. Bukovany - okružní křižovatka u Lidlu</t>
  </si>
  <si>
    <t>III/5704 Olšany - Bystročice</t>
  </si>
  <si>
    <t xml:space="preserve">III/44631 Mladoňov -po kanalizaci </t>
  </si>
  <si>
    <t>III/36630 Ptenský Dvorek - Přemyslovice</t>
  </si>
  <si>
    <t>III/3696 Přemyslov - km 4,6 - 9,070</t>
  </si>
  <si>
    <t>Střední škola zemědělská, Olomouc, U Hradiska 4 - zabezpečení výuky nového oboru</t>
  </si>
  <si>
    <t>výkupy pozemků v k.ú. a obci Rapotín</t>
  </si>
  <si>
    <t>oblast krizového řízení</t>
  </si>
  <si>
    <t>8. Přehled financování investičních akcí v roce 2014</t>
  </si>
  <si>
    <t>Orj 17</t>
  </si>
  <si>
    <t>OLÚ Paseka -  Realizace úspor tepla zateplením budov (budova B,D a dílny)</t>
  </si>
  <si>
    <t>Domov důchodců Kobylá nad Vidnavkou - oprava venkovního schodiště na "Zámku"  a vstupu</t>
  </si>
  <si>
    <t>Penzion pro důchodce Loštice – sanace zdiva</t>
  </si>
  <si>
    <t>Domov důchodců Šumperk - rekonstrukce kuchyně</t>
  </si>
  <si>
    <t>Penzion pro důchodce Loštice - rekonstrukce bytových jader (sociální zařízení, kuchyňky)</t>
  </si>
  <si>
    <t xml:space="preserve">Základní škola, Šternberk, Olomoucká 86 - rekonstrukce kotelny </t>
  </si>
  <si>
    <t>Střední odborná škola průmyslová a Střední odborné učiliště strojírenské, Prostějov, Lidická 4 - oprava střechy na dílnách Wolkerova 24, Prostějov</t>
  </si>
  <si>
    <t>Dětský domov a Školní jídelna, Přerov, Sušilova 25 - rekonstrukce rozvodů vody</t>
  </si>
  <si>
    <t>Střední průmyslová škola elektrotechnická, Mohelnice, Gen. Svobody 2 - rekonstrukce venkovní kanalizace SPŠE Mohelnice</t>
  </si>
  <si>
    <t>Základní škola a Dětský domov Zábřeh - oprava kamenné zdi DD Štíty</t>
  </si>
  <si>
    <t>Střední odborná škola gastronomie a potravinářství, Jeseník, U Jatek 8 - rekonstrukce umýváren nového domova mládeže</t>
  </si>
  <si>
    <t>Vyšší odborná škola a Střední průmyslová škola, Šumperk, Gen. Krátkého 1 - umývárny na domově mládeže, pavilon A</t>
  </si>
  <si>
    <t>Střední odborná škola a Střední odborné učiliště strojírenské a stavební, Jeseník, Dukelská 1240 - vybudování kioskové trafostanice včetně přepojení kabelového vedení pro areál SOŠ a SOU strojírenského a stavebního</t>
  </si>
  <si>
    <t>Domov důchodců Štíty - připojení zemního plynu</t>
  </si>
  <si>
    <t>Domov pro seniory Tovačov - oprava střechy a výměna oken</t>
  </si>
  <si>
    <t>Domov důchodců Prostějov - vybudování vlastní trafostanice</t>
  </si>
  <si>
    <t>Domov Na zámečku Rokytnice - sanace krovu a stropní konstrukce</t>
  </si>
  <si>
    <t>Centrum Dominika Kokory - oprava oken</t>
  </si>
  <si>
    <t>Domov důchodců Červenka - požární zabezpečení dřevostavby oddělení Litovel</t>
  </si>
  <si>
    <t>Domov důchodců Červenka - požární zabezpečení objektu oddělení Červenka</t>
  </si>
  <si>
    <t>Domov pro seniory Tovačov - rozšíření elektronické požární signalizace</t>
  </si>
  <si>
    <t>Domov pro seniory Radkova Lhota - výtah staré budovy</t>
  </si>
  <si>
    <t>Nové Zámky - poskytovatel sociálních služeb - čistírna odpadních vod</t>
  </si>
  <si>
    <t>Domov pro seniory Javorník - výměna oken</t>
  </si>
  <si>
    <t>Domov seniorů POHODA Chválkovice - modernizace hlavní budovy, část A</t>
  </si>
  <si>
    <t>Domov seniorů POHODA Chválkovice - modernizace hlavní budovy, část B a C</t>
  </si>
  <si>
    <t>Vlastivědné muzeum Jesenicka - expozice geologie</t>
  </si>
  <si>
    <t>Muzeum Komenského v Přerově - zastřešení paláce na hradě Helfštýn</t>
  </si>
  <si>
    <t>Čechy pod Kosířem - rekonstrukce a využití objektů, 2. etapa</t>
  </si>
  <si>
    <t>Muzeum Komenského v Přerově - osvětlení na hradě Helfštýn</t>
  </si>
  <si>
    <t>Zámek Čechy pod Kosířem - kanalizace v zámeckém parku</t>
  </si>
  <si>
    <t>Muzeum Komenského v Přerově – odvlhčení přívodního vzduchu do 1.PP budovy Horní náměstí č.7, Přerov</t>
  </si>
  <si>
    <t>Vlastivědné muzeum v Olomouci - Zámek Čechy pod Kosířem - vybavení expozic</t>
  </si>
  <si>
    <t>Vlastivědné muzeum v Olomouci, objekt domeček - elektroinstalace</t>
  </si>
  <si>
    <t>Zdravotnická záchranná služba OK - rekonstrukce a dostavba provozního zázemí LZZS OK hangáru heliport Olomouc</t>
  </si>
  <si>
    <t>DCP Šumperk - vybudování dětských záchodků a souvisejících odpadů a rekonstrukce koupelny na odd. batolat</t>
  </si>
  <si>
    <t>ZZS OK - změna topného media Aksamitova 8, Olomouc</t>
  </si>
  <si>
    <t>DCP Šumperk - výtah, přístavba a půdní rekonstrukce</t>
  </si>
  <si>
    <t>SMN a.s. - o.z. Nemocnice Prostějov - parkoviště v areálu nemocnice</t>
  </si>
  <si>
    <t>SMN a.s. - o.z. Nemocnice Prostějov - rekonstrukce neurologie</t>
  </si>
  <si>
    <t>SMN a.s. - o.z. Nemocnice Přerov - zateplení LDN</t>
  </si>
  <si>
    <t>SMN a.s. - o.z. Nemocnice Prostějov - rekonstrukce výtahu LDN</t>
  </si>
  <si>
    <t>Most ev. č. 433 - 003 přes ŽT ČD mezi obcemi Výšovice a Němčice nad Hanou</t>
  </si>
  <si>
    <t>SMN a.s. - o.z. Nemocnice Šternberk - rekonstrukce porodnice</t>
  </si>
  <si>
    <t>SMN a.s. - o.z. Nemocnice Prostějov – vybudování dětské jednotky pro dlouhodobou péči</t>
  </si>
  <si>
    <t>SMN a.s. - o.z. Nemocnice Prostějov – rekonstrukce JIP - interna</t>
  </si>
  <si>
    <t>SMN a.s. - o.z. Nemocnice Prostějov – zřízení centra sportovní medicíny</t>
  </si>
  <si>
    <t>Rekonstrukce pavilonu CSS Prostějov - zřízení zařízení pro nemocné Alzeimerovou chorobou</t>
  </si>
  <si>
    <t>II/315 a III/31527 Zábřeh na Moravě - okružní křižovatka ul. Postřelmovská, Čsl. Armády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</si>
</sst>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3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i/>
      <sz val="10"/>
      <name val="Arial"/>
      <family val="2"/>
      <charset val="238"/>
    </font>
    <font>
      <i/>
      <sz val="10"/>
      <name val="Arial CE"/>
      <family val="2"/>
      <charset val="238"/>
    </font>
    <font>
      <i/>
      <sz val="10"/>
      <name val="Arial"/>
      <family val="2"/>
      <charset val="238"/>
    </font>
    <font>
      <i/>
      <sz val="10"/>
      <name val="Arial CE"/>
      <charset val="238"/>
    </font>
    <font>
      <b/>
      <i/>
      <sz val="11"/>
      <name val="Arial"/>
      <family val="2"/>
      <charset val="238"/>
    </font>
    <font>
      <b/>
      <i/>
      <u/>
      <sz val="11"/>
      <name val="Arial"/>
      <family val="2"/>
      <charset val="238"/>
    </font>
    <font>
      <i/>
      <sz val="11"/>
      <name val="Arial"/>
      <family val="2"/>
      <charset val="238"/>
    </font>
    <font>
      <b/>
      <i/>
      <sz val="12"/>
      <name val="Arial"/>
      <family val="2"/>
      <charset val="238"/>
    </font>
    <font>
      <i/>
      <sz val="9"/>
      <name val="Arial"/>
      <family val="2"/>
      <charset val="238"/>
    </font>
    <font>
      <sz val="11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b/>
      <i/>
      <sz val="10"/>
      <name val="Arial"/>
      <family val="2"/>
      <charset val="238"/>
    </font>
    <font>
      <sz val="12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0"/>
      <color indexed="10"/>
      <name val="Arial"/>
      <family val="2"/>
      <charset val="238"/>
    </font>
    <font>
      <b/>
      <sz val="14"/>
      <color indexed="10"/>
      <name val="Arial"/>
      <family val="2"/>
      <charset val="238"/>
    </font>
    <font>
      <b/>
      <sz val="10"/>
      <color rgb="FFFFFF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0"/>
      <color rgb="FF00B05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sz val="10"/>
      <color rgb="FF7030A0"/>
      <name val="Arial"/>
      <family val="2"/>
      <charset val="238"/>
    </font>
    <font>
      <b/>
      <i/>
      <sz val="10"/>
      <color rgb="FF7030A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rgb="FF00B0F0"/>
      <name val="Arial"/>
      <family val="2"/>
      <charset val="238"/>
    </font>
    <font>
      <b/>
      <sz val="10"/>
      <color rgb="FF00B050"/>
      <name val="Arial"/>
      <family val="2"/>
      <charset val="238"/>
    </font>
    <font>
      <b/>
      <sz val="10"/>
      <color rgb="FF00B0F0"/>
      <name val="Arial"/>
      <family val="2"/>
      <charset val="238"/>
    </font>
    <font>
      <b/>
      <sz val="10"/>
      <color rgb="FF0070C0"/>
      <name val="Arial"/>
      <family val="2"/>
      <charset val="238"/>
    </font>
    <font>
      <sz val="10"/>
      <color rgb="FF0070C0"/>
      <name val="Arial"/>
      <family val="2"/>
      <charset val="238"/>
    </font>
    <font>
      <b/>
      <sz val="10"/>
      <color rgb="FF7030A0"/>
      <name val="Arial"/>
      <family val="2"/>
      <charset val="238"/>
    </font>
    <font>
      <b/>
      <i/>
      <sz val="10"/>
      <color rgb="FF00B0F0"/>
      <name val="Arial"/>
      <family val="2"/>
      <charset val="238"/>
    </font>
    <font>
      <b/>
      <i/>
      <sz val="10"/>
      <color rgb="FF00B050"/>
      <name val="Arial"/>
      <family val="2"/>
      <charset val="238"/>
    </font>
    <font>
      <b/>
      <sz val="10"/>
      <color theme="9"/>
      <name val="Arial"/>
      <family val="2"/>
      <charset val="238"/>
    </font>
    <font>
      <b/>
      <sz val="10"/>
      <color rgb="FFFFC000"/>
      <name val="Arial"/>
      <family val="2"/>
      <charset val="238"/>
    </font>
    <font>
      <sz val="11"/>
      <name val="Calibri"/>
      <family val="2"/>
      <charset val="238"/>
    </font>
    <font>
      <sz val="10"/>
      <color rgb="FFFFFF00"/>
      <name val="Arial"/>
      <family val="2"/>
      <charset val="238"/>
    </font>
    <font>
      <b/>
      <i/>
      <sz val="10"/>
      <color rgb="FFFFFF00"/>
      <name val="Arial"/>
      <family val="2"/>
      <charset val="238"/>
    </font>
    <font>
      <i/>
      <sz val="10"/>
      <color rgb="FF00B0F0"/>
      <name val="Arial"/>
      <family val="2"/>
      <charset val="238"/>
    </font>
    <font>
      <b/>
      <i/>
      <sz val="10"/>
      <color rgb="FFFFC000"/>
      <name val="Arial"/>
      <family val="2"/>
      <charset val="238"/>
    </font>
    <font>
      <b/>
      <sz val="10"/>
      <color rgb="FF00206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0"/>
      <color theme="3"/>
      <name val="Arial"/>
      <family val="2"/>
      <charset val="238"/>
    </font>
    <font>
      <b/>
      <i/>
      <sz val="10"/>
      <color rgb="FF0070C0"/>
      <name val="Arial"/>
      <family val="2"/>
      <charset val="238"/>
    </font>
    <font>
      <i/>
      <sz val="10"/>
      <color rgb="FFFFC000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i/>
      <sz val="10"/>
      <color theme="3" tint="-0.249977111117893"/>
      <name val="Arial"/>
      <family val="2"/>
      <charset val="238"/>
    </font>
    <font>
      <b/>
      <sz val="10"/>
      <color theme="3" tint="-0.249977111117893"/>
      <name val="Arial"/>
      <family val="2"/>
      <charset val="238"/>
    </font>
    <font>
      <i/>
      <sz val="10"/>
      <color theme="3" tint="-0.249977111117893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8">
    <xf numFmtId="0" fontId="0" fillId="0" borderId="0"/>
    <xf numFmtId="0" fontId="3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8" fillId="0" borderId="0"/>
  </cellStyleXfs>
  <cellXfs count="444">
    <xf numFmtId="0" fontId="0" fillId="0" borderId="0" xfId="0"/>
    <xf numFmtId="0" fontId="0" fillId="2" borderId="0" xfId="0" applyFill="1"/>
    <xf numFmtId="0" fontId="0" fillId="2" borderId="0" xfId="0" applyFill="1" applyBorder="1"/>
    <xf numFmtId="0" fontId="0" fillId="2" borderId="0" xfId="0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2" borderId="0" xfId="2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right" vertical="center" wrapText="1"/>
    </xf>
    <xf numFmtId="0" fontId="8" fillId="0" borderId="7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15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7" fillId="0" borderId="8" xfId="0" applyFont="1" applyFill="1" applyBorder="1" applyAlignment="1">
      <alignment horizontal="left"/>
    </xf>
    <xf numFmtId="0" fontId="0" fillId="0" borderId="0" xfId="0" applyFill="1"/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left"/>
    </xf>
    <xf numFmtId="0" fontId="0" fillId="0" borderId="0" xfId="0" applyFill="1" applyAlignment="1">
      <alignment horizontal="right"/>
    </xf>
    <xf numFmtId="0" fontId="9" fillId="0" borderId="0" xfId="0" applyFont="1" applyFill="1"/>
    <xf numFmtId="4" fontId="9" fillId="0" borderId="10" xfId="0" applyNumberFormat="1" applyFont="1" applyFill="1" applyBorder="1" applyAlignment="1">
      <alignment horizontal="right" vertical="center" wrapText="1"/>
    </xf>
    <xf numFmtId="0" fontId="3" fillId="0" borderId="0" xfId="0" applyFont="1" applyFill="1"/>
    <xf numFmtId="0" fontId="9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 vertical="center" wrapText="1"/>
    </xf>
    <xf numFmtId="0" fontId="0" fillId="0" borderId="0" xfId="0" applyFill="1" applyBorder="1"/>
    <xf numFmtId="0" fontId="3" fillId="0" borderId="0" xfId="1" applyAlignment="1">
      <alignment horizontal="right"/>
    </xf>
    <xf numFmtId="4" fontId="3" fillId="0" borderId="0" xfId="1" applyNumberFormat="1"/>
    <xf numFmtId="0" fontId="3" fillId="0" borderId="0" xfId="1"/>
    <xf numFmtId="0" fontId="28" fillId="0" borderId="0" xfId="1" applyFont="1" applyAlignment="1">
      <alignment horizontal="right"/>
    </xf>
    <xf numFmtId="0" fontId="8" fillId="0" borderId="14" xfId="0" applyFont="1" applyFill="1" applyBorder="1" applyAlignment="1">
      <alignment horizontal="center" vertical="center"/>
    </xf>
    <xf numFmtId="0" fontId="9" fillId="0" borderId="0" xfId="0" applyFont="1" applyFill="1" applyBorder="1"/>
    <xf numFmtId="0" fontId="7" fillId="0" borderId="0" xfId="0" applyFont="1" applyAlignment="1">
      <alignment horizontal="left"/>
    </xf>
    <xf numFmtId="0" fontId="7" fillId="2" borderId="8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0" borderId="0" xfId="1" applyFont="1"/>
    <xf numFmtId="0" fontId="3" fillId="0" borderId="0" xfId="1" applyBorder="1"/>
    <xf numFmtId="0" fontId="7" fillId="0" borderId="16" xfId="1" applyFont="1" applyBorder="1"/>
    <xf numFmtId="0" fontId="3" fillId="0" borderId="16" xfId="1" applyBorder="1"/>
    <xf numFmtId="0" fontId="3" fillId="0" borderId="16" xfId="1" applyBorder="1" applyAlignment="1">
      <alignment horizontal="right"/>
    </xf>
    <xf numFmtId="0" fontId="3" fillId="0" borderId="7" xfId="1" applyBorder="1"/>
    <xf numFmtId="4" fontId="21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4" fontId="6" fillId="0" borderId="20" xfId="1" applyNumberFormat="1" applyFont="1" applyFill="1" applyBorder="1" applyAlignment="1">
      <alignment horizontal="center" vertical="center"/>
    </xf>
    <xf numFmtId="0" fontId="2" fillId="0" borderId="19" xfId="1" applyFont="1" applyBorder="1"/>
    <xf numFmtId="4" fontId="6" fillId="0" borderId="4" xfId="1" applyNumberFormat="1" applyFont="1" applyBorder="1"/>
    <xf numFmtId="4" fontId="3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/>
    </xf>
    <xf numFmtId="4" fontId="3" fillId="0" borderId="0" xfId="1" applyNumberFormat="1" applyFont="1" applyFill="1" applyBorder="1" applyAlignment="1">
      <alignment horizontal="center" vertical="center"/>
    </xf>
    <xf numFmtId="0" fontId="2" fillId="0" borderId="7" xfId="1" applyFont="1" applyBorder="1" applyAlignment="1">
      <alignment horizontal="left"/>
    </xf>
    <xf numFmtId="4" fontId="2" fillId="0" borderId="1" xfId="1" applyNumberFormat="1" applyFont="1" applyBorder="1"/>
    <xf numFmtId="4" fontId="2" fillId="0" borderId="20" xfId="1" applyNumberFormat="1" applyFont="1" applyBorder="1"/>
    <xf numFmtId="0" fontId="22" fillId="0" borderId="0" xfId="1" applyFont="1" applyBorder="1" applyAlignment="1">
      <alignment horizontal="left"/>
    </xf>
    <xf numFmtId="4" fontId="2" fillId="0" borderId="0" xfId="1" applyNumberFormat="1" applyFont="1" applyBorder="1"/>
    <xf numFmtId="0" fontId="3" fillId="0" borderId="0" xfId="1" applyFont="1"/>
    <xf numFmtId="0" fontId="9" fillId="0" borderId="0" xfId="1" applyFont="1" applyBorder="1" applyAlignment="1">
      <alignment horizontal="left"/>
    </xf>
    <xf numFmtId="0" fontId="19" fillId="0" borderId="19" xfId="1" applyFont="1" applyBorder="1" applyAlignment="1">
      <alignment horizontal="left"/>
    </xf>
    <xf numFmtId="4" fontId="19" fillId="0" borderId="4" xfId="1" applyNumberFormat="1" applyFont="1" applyBorder="1"/>
    <xf numFmtId="0" fontId="19" fillId="0" borderId="0" xfId="1" applyFont="1"/>
    <xf numFmtId="0" fontId="23" fillId="0" borderId="0" xfId="1" applyFont="1"/>
    <xf numFmtId="0" fontId="2" fillId="0" borderId="0" xfId="1" applyFont="1" applyAlignment="1">
      <alignment horizontal="right"/>
    </xf>
    <xf numFmtId="4" fontId="2" fillId="0" borderId="0" xfId="1" applyNumberFormat="1" applyFont="1"/>
    <xf numFmtId="0" fontId="24" fillId="0" borderId="0" xfId="1" applyFont="1"/>
    <xf numFmtId="4" fontId="10" fillId="2" borderId="0" xfId="0" applyNumberFormat="1" applyFont="1" applyFill="1" applyBorder="1" applyAlignment="1">
      <alignment horizontal="right" vertical="center"/>
    </xf>
    <xf numFmtId="0" fontId="9" fillId="0" borderId="21" xfId="0" applyFont="1" applyFill="1" applyBorder="1" applyAlignment="1">
      <alignment horizontal="left" vertical="center"/>
    </xf>
    <xf numFmtId="0" fontId="7" fillId="0" borderId="0" xfId="1" applyFont="1" applyFill="1" applyAlignment="1">
      <alignment horizontal="left"/>
    </xf>
    <xf numFmtId="0" fontId="25" fillId="0" borderId="0" xfId="1" applyFont="1" applyFill="1"/>
    <xf numFmtId="4" fontId="25" fillId="0" borderId="0" xfId="1" applyNumberFormat="1" applyFont="1" applyFill="1"/>
    <xf numFmtId="0" fontId="3" fillId="0" borderId="0" xfId="1" applyFill="1"/>
    <xf numFmtId="0" fontId="2" fillId="0" borderId="0" xfId="1" applyFont="1" applyFill="1" applyAlignment="1">
      <alignment horizontal="left"/>
    </xf>
    <xf numFmtId="0" fontId="6" fillId="0" borderId="0" xfId="1" applyFont="1" applyFill="1" applyAlignment="1">
      <alignment horizontal="left"/>
    </xf>
    <xf numFmtId="0" fontId="3" fillId="0" borderId="0" xfId="1" applyFont="1" applyFill="1"/>
    <xf numFmtId="0" fontId="7" fillId="0" borderId="0" xfId="1" applyFont="1" applyFill="1" applyBorder="1" applyAlignment="1">
      <alignment horizontal="left"/>
    </xf>
    <xf numFmtId="0" fontId="5" fillId="0" borderId="0" xfId="1" applyFont="1" applyFill="1" applyAlignment="1">
      <alignment horizontal="left"/>
    </xf>
    <xf numFmtId="0" fontId="25" fillId="0" borderId="0" xfId="1" applyFont="1"/>
    <xf numFmtId="0" fontId="9" fillId="0" borderId="0" xfId="1" applyFont="1" applyFill="1" applyAlignment="1">
      <alignment horizontal="left"/>
    </xf>
    <xf numFmtId="0" fontId="3" fillId="0" borderId="0" xfId="1" applyFont="1" applyFill="1" applyAlignment="1">
      <alignment horizontal="right"/>
    </xf>
    <xf numFmtId="0" fontId="8" fillId="0" borderId="7" xfId="1" applyFont="1" applyFill="1" applyBorder="1" applyAlignment="1">
      <alignment horizontal="center" vertical="center"/>
    </xf>
    <xf numFmtId="4" fontId="8" fillId="0" borderId="1" xfId="1" applyNumberFormat="1" applyFont="1" applyFill="1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/>
    </xf>
    <xf numFmtId="4" fontId="3" fillId="0" borderId="1" xfId="1" applyNumberFormat="1" applyFill="1" applyBorder="1" applyAlignment="1">
      <alignment horizontal="center" vertical="center"/>
    </xf>
    <xf numFmtId="0" fontId="3" fillId="0" borderId="3" xfId="1" applyFill="1" applyBorder="1" applyAlignment="1">
      <alignment horizontal="center" vertical="center"/>
    </xf>
    <xf numFmtId="0" fontId="9" fillId="0" borderId="19" xfId="1" applyFont="1" applyFill="1" applyBorder="1" applyAlignment="1">
      <alignment horizontal="left" vertical="center"/>
    </xf>
    <xf numFmtId="4" fontId="9" fillId="0" borderId="4" xfId="1" applyNumberFormat="1" applyFont="1" applyFill="1" applyBorder="1" applyAlignment="1">
      <alignment horizontal="right" vertical="center"/>
    </xf>
    <xf numFmtId="164" fontId="9" fillId="0" borderId="5" xfId="1" applyNumberFormat="1" applyFont="1" applyFill="1" applyBorder="1"/>
    <xf numFmtId="164" fontId="10" fillId="0" borderId="5" xfId="1" applyNumberFormat="1" applyFont="1" applyFill="1" applyBorder="1" applyAlignment="1">
      <alignment vertical="center"/>
    </xf>
    <xf numFmtId="0" fontId="25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4" fontId="11" fillId="2" borderId="0" xfId="1" applyNumberFormat="1" applyFont="1" applyFill="1" applyBorder="1" applyAlignment="1">
      <alignment horizontal="right" vertical="center"/>
    </xf>
    <xf numFmtId="0" fontId="10" fillId="0" borderId="19" xfId="1" applyFont="1" applyFill="1" applyBorder="1" applyAlignment="1">
      <alignment vertical="center" wrapText="1"/>
    </xf>
    <xf numFmtId="4" fontId="10" fillId="2" borderId="0" xfId="1" applyNumberFormat="1" applyFont="1" applyFill="1" applyBorder="1" applyAlignment="1">
      <alignment vertical="center"/>
    </xf>
    <xf numFmtId="164" fontId="10" fillId="0" borderId="0" xfId="1" applyNumberFormat="1" applyFont="1" applyFill="1" applyBorder="1" applyAlignment="1">
      <alignment vertical="center"/>
    </xf>
    <xf numFmtId="0" fontId="25" fillId="0" borderId="0" xfId="1" applyFont="1" applyBorder="1" applyAlignment="1">
      <alignment vertical="center"/>
    </xf>
    <xf numFmtId="0" fontId="3" fillId="0" borderId="0" xfId="1" applyBorder="1" applyAlignment="1">
      <alignment vertical="center"/>
    </xf>
    <xf numFmtId="3" fontId="11" fillId="2" borderId="0" xfId="1" applyNumberFormat="1" applyFont="1" applyFill="1" applyBorder="1" applyAlignment="1">
      <alignment horizontal="right" vertical="center"/>
    </xf>
    <xf numFmtId="0" fontId="25" fillId="0" borderId="0" xfId="1" applyFont="1" applyBorder="1"/>
    <xf numFmtId="0" fontId="9" fillId="2" borderId="0" xfId="1" applyFont="1" applyFill="1" applyBorder="1" applyAlignment="1">
      <alignment horizontal="left" vertical="center"/>
    </xf>
    <xf numFmtId="164" fontId="14" fillId="0" borderId="5" xfId="1" applyNumberFormat="1" applyFont="1" applyFill="1" applyBorder="1" applyAlignment="1">
      <alignment vertical="center"/>
    </xf>
    <xf numFmtId="0" fontId="26" fillId="0" borderId="0" xfId="1" applyFont="1"/>
    <xf numFmtId="0" fontId="10" fillId="0" borderId="0" xfId="1" applyFont="1"/>
    <xf numFmtId="0" fontId="8" fillId="2" borderId="0" xfId="1" applyFont="1" applyFill="1" applyBorder="1" applyAlignment="1">
      <alignment vertical="center" wrapText="1"/>
    </xf>
    <xf numFmtId="0" fontId="7" fillId="2" borderId="8" xfId="1" applyFont="1" applyFill="1" applyBorder="1" applyAlignment="1">
      <alignment vertical="center" wrapText="1"/>
    </xf>
    <xf numFmtId="4" fontId="2" fillId="2" borderId="8" xfId="1" applyNumberFormat="1" applyFont="1" applyFill="1" applyBorder="1" applyAlignment="1">
      <alignment vertical="center"/>
    </xf>
    <xf numFmtId="164" fontId="17" fillId="0" borderId="8" xfId="1" applyNumberFormat="1" applyFont="1" applyFill="1" applyBorder="1" applyAlignment="1">
      <alignment vertical="center"/>
    </xf>
    <xf numFmtId="0" fontId="27" fillId="0" borderId="0" xfId="1" applyFont="1"/>
    <xf numFmtId="0" fontId="10" fillId="0" borderId="0" xfId="1" applyFont="1" applyBorder="1"/>
    <xf numFmtId="4" fontId="10" fillId="0" borderId="0" xfId="1" applyNumberFormat="1" applyFont="1" applyBorder="1"/>
    <xf numFmtId="4" fontId="9" fillId="0" borderId="13" xfId="1" applyNumberFormat="1" applyFont="1" applyFill="1" applyBorder="1" applyAlignment="1">
      <alignment horizontal="right" vertical="center"/>
    </xf>
    <xf numFmtId="4" fontId="10" fillId="0" borderId="0" xfId="1" applyNumberFormat="1" applyFont="1" applyFill="1" applyBorder="1" applyAlignment="1">
      <alignment horizontal="right"/>
    </xf>
    <xf numFmtId="4" fontId="10" fillId="0" borderId="4" xfId="1" applyNumberFormat="1" applyFont="1" applyBorder="1" applyAlignment="1">
      <alignment vertical="center"/>
    </xf>
    <xf numFmtId="0" fontId="3" fillId="0" borderId="0" xfId="1" applyAlignment="1">
      <alignment vertical="center"/>
    </xf>
    <xf numFmtId="4" fontId="10" fillId="0" borderId="13" xfId="1" applyNumberFormat="1" applyFont="1" applyFill="1" applyBorder="1"/>
    <xf numFmtId="4" fontId="10" fillId="0" borderId="13" xfId="1" applyNumberFormat="1" applyFont="1" applyFill="1" applyBorder="1" applyAlignment="1">
      <alignment vertical="center"/>
    </xf>
    <xf numFmtId="0" fontId="26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5" fillId="0" borderId="0" xfId="1" applyFont="1" applyFill="1" applyBorder="1" applyAlignment="1">
      <alignment horizontal="left"/>
    </xf>
    <xf numFmtId="0" fontId="16" fillId="0" borderId="0" xfId="1" applyFont="1" applyFill="1" applyBorder="1"/>
    <xf numFmtId="0" fontId="16" fillId="0" borderId="0" xfId="1" applyFont="1" applyFill="1" applyBorder="1" applyAlignment="1">
      <alignment horizontal="left"/>
    </xf>
    <xf numFmtId="4" fontId="10" fillId="0" borderId="0" xfId="1" applyNumberFormat="1" applyFont="1" applyFill="1" applyBorder="1"/>
    <xf numFmtId="164" fontId="16" fillId="0" borderId="0" xfId="1" applyNumberFormat="1" applyFont="1" applyFill="1" applyBorder="1"/>
    <xf numFmtId="0" fontId="17" fillId="0" borderId="8" xfId="1" applyFont="1" applyFill="1" applyBorder="1" applyAlignment="1">
      <alignment horizontal="left"/>
    </xf>
    <xf numFmtId="4" fontId="14" fillId="0" borderId="8" xfId="1" applyNumberFormat="1" applyFont="1" applyFill="1" applyBorder="1"/>
    <xf numFmtId="164" fontId="14" fillId="0" borderId="8" xfId="1" applyNumberFormat="1" applyFont="1" applyFill="1" applyBorder="1"/>
    <xf numFmtId="3" fontId="3" fillId="0" borderId="0" xfId="1" applyNumberFormat="1" applyFill="1"/>
    <xf numFmtId="4" fontId="3" fillId="0" borderId="0" xfId="1" applyNumberFormat="1" applyFill="1"/>
    <xf numFmtId="164" fontId="3" fillId="0" borderId="0" xfId="1" applyNumberFormat="1" applyFont="1" applyFill="1" applyBorder="1" applyAlignment="1">
      <alignment vertical="center"/>
    </xf>
    <xf numFmtId="3" fontId="3" fillId="0" borderId="0" xfId="1" applyNumberFormat="1" applyFont="1" applyFill="1"/>
    <xf numFmtId="4" fontId="3" fillId="0" borderId="0" xfId="1" applyNumberFormat="1" applyFont="1" applyFill="1"/>
    <xf numFmtId="0" fontId="2" fillId="2" borderId="0" xfId="1" applyFont="1" applyFill="1" applyBorder="1" applyAlignment="1"/>
    <xf numFmtId="0" fontId="3" fillId="2" borderId="0" xfId="1" applyFont="1" applyFill="1" applyBorder="1" applyAlignment="1">
      <alignment horizontal="center" vertical="center"/>
    </xf>
    <xf numFmtId="0" fontId="3" fillId="2" borderId="0" xfId="1" applyFill="1" applyBorder="1"/>
    <xf numFmtId="4" fontId="9" fillId="0" borderId="0" xfId="1" applyNumberFormat="1" applyFont="1" applyFill="1" applyBorder="1" applyAlignment="1">
      <alignment horizontal="right" vertical="center"/>
    </xf>
    <xf numFmtId="164" fontId="9" fillId="0" borderId="5" xfId="1" applyNumberFormat="1" applyFont="1" applyFill="1" applyBorder="1" applyAlignment="1">
      <alignment vertical="center"/>
    </xf>
    <xf numFmtId="0" fontId="6" fillId="2" borderId="0" xfId="1" applyFont="1" applyFill="1" applyBorder="1" applyAlignment="1">
      <alignment horizontal="center" vertical="center"/>
    </xf>
    <xf numFmtId="0" fontId="3" fillId="2" borderId="0" xfId="1" applyFill="1"/>
    <xf numFmtId="0" fontId="3" fillId="2" borderId="0" xfId="1" applyFill="1" applyAlignment="1">
      <alignment vertical="center"/>
    </xf>
    <xf numFmtId="0" fontId="3" fillId="2" borderId="0" xfId="1" applyFill="1" applyAlignment="1">
      <alignment wrapText="1"/>
    </xf>
    <xf numFmtId="0" fontId="3" fillId="2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left" vertical="center"/>
    </xf>
    <xf numFmtId="0" fontId="5" fillId="0" borderId="0" xfId="1" applyFont="1" applyFill="1" applyBorder="1" applyAlignment="1">
      <alignment horizontal="left"/>
    </xf>
    <xf numFmtId="0" fontId="10" fillId="0" borderId="0" xfId="1" applyFont="1" applyFill="1" applyAlignment="1">
      <alignment horizontal="left"/>
    </xf>
    <xf numFmtId="3" fontId="10" fillId="0" borderId="0" xfId="1" applyNumberFormat="1" applyFont="1" applyFill="1" applyBorder="1" applyAlignment="1">
      <alignment horizontal="left"/>
    </xf>
    <xf numFmtId="0" fontId="3" fillId="0" borderId="0" xfId="1" applyFont="1" applyFill="1" applyAlignment="1">
      <alignment horizontal="left"/>
    </xf>
    <xf numFmtId="0" fontId="20" fillId="0" borderId="0" xfId="1" applyFont="1" applyFill="1" applyAlignment="1">
      <alignment horizontal="left"/>
    </xf>
    <xf numFmtId="0" fontId="25" fillId="0" borderId="0" xfId="1" applyFont="1" applyFill="1" applyAlignment="1">
      <alignment vertical="center"/>
    </xf>
    <xf numFmtId="0" fontId="3" fillId="0" borderId="0" xfId="1" applyFont="1" applyFill="1" applyAlignment="1">
      <alignment vertical="center"/>
    </xf>
    <xf numFmtId="3" fontId="10" fillId="0" borderId="0" xfId="1" applyNumberFormat="1" applyFont="1" applyFill="1" applyBorder="1" applyAlignment="1">
      <alignment horizontal="left" vertical="center"/>
    </xf>
    <xf numFmtId="0" fontId="3" fillId="4" borderId="0" xfId="1" applyFont="1" applyFill="1" applyAlignment="1">
      <alignment horizontal="left"/>
    </xf>
    <xf numFmtId="0" fontId="10" fillId="2" borderId="0" xfId="1" applyFont="1" applyFill="1" applyBorder="1" applyAlignment="1">
      <alignment vertical="center" wrapText="1"/>
    </xf>
    <xf numFmtId="3" fontId="3" fillId="0" borderId="0" xfId="1" applyNumberFormat="1" applyFont="1" applyFill="1" applyAlignment="1">
      <alignment horizontal="left"/>
    </xf>
    <xf numFmtId="0" fontId="3" fillId="0" borderId="0" xfId="1" applyFont="1" applyAlignment="1">
      <alignment horizontal="left"/>
    </xf>
    <xf numFmtId="49" fontId="3" fillId="0" borderId="0" xfId="1" applyNumberFormat="1" applyFont="1" applyFill="1" applyAlignment="1">
      <alignment horizontal="left" vertical="center"/>
    </xf>
    <xf numFmtId="4" fontId="29" fillId="0" borderId="0" xfId="1" applyNumberFormat="1" applyFont="1" applyBorder="1"/>
    <xf numFmtId="0" fontId="10" fillId="0" borderId="0" xfId="1" applyFont="1" applyFill="1" applyAlignment="1">
      <alignment horizontal="left" vertical="center"/>
    </xf>
    <xf numFmtId="0" fontId="26" fillId="0" borderId="0" xfId="1" applyFont="1" applyFill="1" applyAlignment="1">
      <alignment vertical="center"/>
    </xf>
    <xf numFmtId="0" fontId="10" fillId="0" borderId="0" xfId="1" applyFont="1" applyFill="1" applyAlignment="1">
      <alignment vertical="center"/>
    </xf>
    <xf numFmtId="0" fontId="30" fillId="0" borderId="0" xfId="1" applyFont="1" applyFill="1" applyAlignment="1">
      <alignment horizontal="center"/>
    </xf>
    <xf numFmtId="0" fontId="30" fillId="0" borderId="0" xfId="1" applyFont="1" applyFill="1" applyBorder="1" applyAlignment="1">
      <alignment horizontal="center"/>
    </xf>
    <xf numFmtId="0" fontId="31" fillId="0" borderId="0" xfId="1" applyFont="1" applyFill="1" applyAlignment="1">
      <alignment horizontal="center"/>
    </xf>
    <xf numFmtId="0" fontId="30" fillId="0" borderId="0" xfId="1" applyFont="1" applyFill="1" applyBorder="1" applyAlignment="1">
      <alignment horizontal="left"/>
    </xf>
    <xf numFmtId="4" fontId="25" fillId="0" borderId="0" xfId="1" applyNumberFormat="1" applyFont="1"/>
    <xf numFmtId="4" fontId="26" fillId="0" borderId="0" xfId="1" applyNumberFormat="1" applyFont="1" applyAlignment="1">
      <alignment vertical="center"/>
    </xf>
    <xf numFmtId="0" fontId="3" fillId="5" borderId="0" xfId="1" applyFont="1" applyFill="1" applyAlignment="1">
      <alignment horizontal="left"/>
    </xf>
    <xf numFmtId="0" fontId="3" fillId="3" borderId="0" xfId="1" applyFont="1" applyFill="1" applyAlignment="1">
      <alignment horizontal="left"/>
    </xf>
    <xf numFmtId="0" fontId="3" fillId="7" borderId="0" xfId="1" applyFont="1" applyFill="1" applyAlignment="1">
      <alignment horizontal="left"/>
    </xf>
    <xf numFmtId="0" fontId="3" fillId="8" borderId="0" xfId="1" applyFont="1" applyFill="1" applyAlignment="1">
      <alignment horizontal="left"/>
    </xf>
    <xf numFmtId="0" fontId="7" fillId="3" borderId="0" xfId="1" applyFont="1" applyFill="1" applyAlignment="1">
      <alignment horizontal="left"/>
    </xf>
    <xf numFmtId="0" fontId="5" fillId="6" borderId="0" xfId="1" applyFont="1" applyFill="1" applyAlignment="1">
      <alignment horizontal="left" vertical="center"/>
    </xf>
    <xf numFmtId="0" fontId="5" fillId="8" borderId="0" xfId="1" applyFont="1" applyFill="1" applyAlignment="1">
      <alignment horizontal="left"/>
    </xf>
    <xf numFmtId="0" fontId="7" fillId="7" borderId="0" xfId="1" applyFont="1" applyFill="1" applyAlignment="1">
      <alignment horizontal="left"/>
    </xf>
    <xf numFmtId="0" fontId="7" fillId="4" borderId="0" xfId="1" applyFont="1" applyFill="1" applyAlignment="1">
      <alignment horizontal="left"/>
    </xf>
    <xf numFmtId="4" fontId="0" fillId="0" borderId="0" xfId="0" applyNumberFormat="1" applyFill="1" applyAlignment="1">
      <alignment horizontal="right"/>
    </xf>
    <xf numFmtId="4" fontId="6" fillId="0" borderId="0" xfId="0" applyNumberFormat="1" applyFont="1" applyFill="1" applyAlignment="1">
      <alignment horizontal="right"/>
    </xf>
    <xf numFmtId="0" fontId="33" fillId="0" borderId="0" xfId="0" applyFont="1" applyFill="1" applyAlignment="1">
      <alignment horizontal="center"/>
    </xf>
    <xf numFmtId="0" fontId="33" fillId="0" borderId="0" xfId="0" applyFont="1" applyFill="1"/>
    <xf numFmtId="4" fontId="6" fillId="9" borderId="4" xfId="1" applyNumberFormat="1" applyFont="1" applyFill="1" applyBorder="1"/>
    <xf numFmtId="0" fontId="29" fillId="0" borderId="0" xfId="1" applyFont="1"/>
    <xf numFmtId="164" fontId="17" fillId="0" borderId="8" xfId="0" applyNumberFormat="1" applyFont="1" applyFill="1" applyBorder="1" applyAlignment="1">
      <alignment horizontal="right" vertical="center"/>
    </xf>
    <xf numFmtId="0" fontId="0" fillId="0" borderId="3" xfId="0" applyFill="1" applyBorder="1" applyAlignment="1">
      <alignment horizontal="right" vertical="center"/>
    </xf>
    <xf numFmtId="164" fontId="9" fillId="0" borderId="5" xfId="0" applyNumberFormat="1" applyFont="1" applyFill="1" applyBorder="1" applyAlignment="1">
      <alignment horizontal="right"/>
    </xf>
    <xf numFmtId="0" fontId="0" fillId="0" borderId="14" xfId="0" applyFill="1" applyBorder="1" applyAlignment="1">
      <alignment horizontal="right" vertical="center"/>
    </xf>
    <xf numFmtId="164" fontId="17" fillId="0" borderId="0" xfId="0" applyNumberFormat="1" applyFont="1" applyFill="1" applyBorder="1" applyAlignment="1">
      <alignment horizontal="right" vertical="center"/>
    </xf>
    <xf numFmtId="164" fontId="9" fillId="0" borderId="11" xfId="0" applyNumberFormat="1" applyFont="1" applyFill="1" applyBorder="1" applyAlignment="1">
      <alignment horizontal="right"/>
    </xf>
    <xf numFmtId="164" fontId="9" fillId="0" borderId="0" xfId="0" applyNumberFormat="1" applyFont="1" applyFill="1" applyBorder="1" applyAlignment="1">
      <alignment horizontal="right"/>
    </xf>
    <xf numFmtId="3" fontId="16" fillId="0" borderId="0" xfId="0" applyNumberFormat="1" applyFont="1" applyFill="1" applyBorder="1" applyAlignment="1">
      <alignment horizontal="right"/>
    </xf>
    <xf numFmtId="164" fontId="16" fillId="0" borderId="0" xfId="0" applyNumberFormat="1" applyFont="1" applyFill="1" applyBorder="1" applyAlignment="1">
      <alignment horizontal="right"/>
    </xf>
    <xf numFmtId="164" fontId="14" fillId="0" borderId="8" xfId="0" applyNumberFormat="1" applyFont="1" applyFill="1" applyBorder="1" applyAlignment="1">
      <alignment horizontal="right"/>
    </xf>
    <xf numFmtId="0" fontId="33" fillId="0" borderId="0" xfId="0" applyFont="1" applyFill="1" applyAlignment="1">
      <alignment horizontal="right"/>
    </xf>
    <xf numFmtId="0" fontId="0" fillId="4" borderId="0" xfId="0" applyFill="1" applyAlignment="1">
      <alignment horizontal="right"/>
    </xf>
    <xf numFmtId="0" fontId="0" fillId="5" borderId="0" xfId="0" applyFill="1" applyAlignment="1">
      <alignment horizontal="right"/>
    </xf>
    <xf numFmtId="0" fontId="0" fillId="7" borderId="0" xfId="0" applyFill="1" applyAlignment="1">
      <alignment horizontal="right"/>
    </xf>
    <xf numFmtId="3" fontId="0" fillId="0" borderId="0" xfId="0" applyNumberFormat="1" applyFill="1" applyAlignment="1">
      <alignment horizontal="right"/>
    </xf>
    <xf numFmtId="4" fontId="8" fillId="0" borderId="1" xfId="0" applyNumberFormat="1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right" vertical="center"/>
    </xf>
    <xf numFmtId="4" fontId="0" fillId="0" borderId="1" xfId="0" applyNumberFormat="1" applyFill="1" applyBorder="1" applyAlignment="1">
      <alignment horizontal="right" vertical="center"/>
    </xf>
    <xf numFmtId="4" fontId="9" fillId="0" borderId="4" xfId="0" applyNumberFormat="1" applyFont="1" applyFill="1" applyBorder="1" applyAlignment="1">
      <alignment horizontal="right"/>
    </xf>
    <xf numFmtId="4" fontId="8" fillId="0" borderId="14" xfId="0" applyNumberFormat="1" applyFont="1" applyFill="1" applyBorder="1" applyAlignment="1">
      <alignment horizontal="right" vertical="center" wrapText="1"/>
    </xf>
    <xf numFmtId="4" fontId="0" fillId="0" borderId="14" xfId="0" applyNumberFormat="1" applyFill="1" applyBorder="1" applyAlignment="1">
      <alignment horizontal="right" vertical="center"/>
    </xf>
    <xf numFmtId="4" fontId="2" fillId="2" borderId="8" xfId="0" applyNumberFormat="1" applyFont="1" applyFill="1" applyBorder="1" applyAlignment="1">
      <alignment horizontal="right" vertical="center"/>
    </xf>
    <xf numFmtId="4" fontId="2" fillId="2" borderId="0" xfId="0" applyNumberFormat="1" applyFont="1" applyFill="1" applyBorder="1" applyAlignment="1">
      <alignment horizontal="right" vertical="center"/>
    </xf>
    <xf numFmtId="4" fontId="9" fillId="0" borderId="0" xfId="0" applyNumberFormat="1" applyFont="1" applyFill="1" applyBorder="1" applyAlignment="1">
      <alignment horizontal="right"/>
    </xf>
    <xf numFmtId="0" fontId="16" fillId="0" borderId="0" xfId="0" applyFont="1" applyFill="1" applyBorder="1" applyAlignment="1">
      <alignment horizontal="right"/>
    </xf>
    <xf numFmtId="4" fontId="16" fillId="0" borderId="0" xfId="0" applyNumberFormat="1" applyFont="1" applyFill="1" applyBorder="1" applyAlignment="1">
      <alignment horizontal="right"/>
    </xf>
    <xf numFmtId="4" fontId="14" fillId="0" borderId="8" xfId="0" applyNumberFormat="1" applyFont="1" applyFill="1" applyBorder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0" borderId="0" xfId="0" applyFont="1" applyFill="1" applyAlignment="1">
      <alignment horizontal="right"/>
    </xf>
    <xf numFmtId="4" fontId="34" fillId="0" borderId="0" xfId="0" applyNumberFormat="1" applyFont="1" applyFill="1" applyAlignment="1">
      <alignment horizontal="right"/>
    </xf>
    <xf numFmtId="3" fontId="35" fillId="0" borderId="0" xfId="0" applyNumberFormat="1" applyFont="1" applyFill="1" applyAlignment="1">
      <alignment horizontal="right"/>
    </xf>
    <xf numFmtId="0" fontId="35" fillId="0" borderId="0" xfId="0" applyFont="1" applyFill="1" applyAlignment="1">
      <alignment horizontal="right"/>
    </xf>
    <xf numFmtId="4" fontId="35" fillId="0" borderId="0" xfId="0" applyNumberFormat="1" applyFont="1" applyFill="1" applyAlignment="1">
      <alignment horizontal="right"/>
    </xf>
    <xf numFmtId="0" fontId="3" fillId="0" borderId="0" xfId="0" applyFont="1" applyAlignment="1">
      <alignment horizontal="right"/>
    </xf>
    <xf numFmtId="0" fontId="3" fillId="0" borderId="23" xfId="0" applyFont="1" applyBorder="1" applyAlignment="1">
      <alignment horizontal="right"/>
    </xf>
    <xf numFmtId="3" fontId="6" fillId="0" borderId="0" xfId="0" applyNumberFormat="1" applyFont="1" applyFill="1" applyAlignment="1">
      <alignment horizontal="right"/>
    </xf>
    <xf numFmtId="3" fontId="3" fillId="0" borderId="0" xfId="0" applyNumberFormat="1" applyFont="1" applyFill="1" applyAlignment="1">
      <alignment horizontal="right"/>
    </xf>
    <xf numFmtId="0" fontId="2" fillId="2" borderId="0" xfId="0" applyFont="1" applyFill="1" applyBorder="1" applyAlignment="1">
      <alignment horizontal="right" vertical="center"/>
    </xf>
    <xf numFmtId="0" fontId="0" fillId="2" borderId="0" xfId="0" applyFill="1" applyBorder="1" applyAlignment="1">
      <alignment horizontal="right"/>
    </xf>
    <xf numFmtId="0" fontId="2" fillId="2" borderId="0" xfId="0" applyFont="1" applyFill="1" applyBorder="1" applyAlignment="1">
      <alignment horizontal="right"/>
    </xf>
    <xf numFmtId="0" fontId="9" fillId="0" borderId="0" xfId="0" applyFont="1" applyFill="1" applyAlignment="1">
      <alignment horizontal="right"/>
    </xf>
    <xf numFmtId="165" fontId="7" fillId="0" borderId="8" xfId="0" applyNumberFormat="1" applyFont="1" applyBorder="1" applyAlignment="1">
      <alignment horizontal="right"/>
    </xf>
    <xf numFmtId="164" fontId="12" fillId="0" borderId="0" xfId="0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/>
    </xf>
    <xf numFmtId="4" fontId="12" fillId="0" borderId="0" xfId="0" applyNumberFormat="1" applyFont="1" applyFill="1" applyBorder="1" applyAlignment="1">
      <alignment horizontal="right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right" wrapText="1"/>
    </xf>
    <xf numFmtId="0" fontId="0" fillId="2" borderId="0" xfId="0" applyFill="1" applyAlignment="1">
      <alignment horizontal="right"/>
    </xf>
    <xf numFmtId="0" fontId="3" fillId="2" borderId="0" xfId="0" applyFont="1" applyFill="1" applyAlignment="1">
      <alignment horizontal="right"/>
    </xf>
    <xf numFmtId="4" fontId="19" fillId="0" borderId="5" xfId="1" applyNumberFormat="1" applyFont="1" applyBorder="1"/>
    <xf numFmtId="0" fontId="36" fillId="0" borderId="0" xfId="1" applyFont="1"/>
    <xf numFmtId="0" fontId="37" fillId="0" borderId="0" xfId="1" applyFont="1"/>
    <xf numFmtId="0" fontId="8" fillId="0" borderId="24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left" vertical="center"/>
    </xf>
    <xf numFmtId="4" fontId="9" fillId="0" borderId="10" xfId="0" applyNumberFormat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horizontal="center" vertical="center"/>
    </xf>
    <xf numFmtId="0" fontId="10" fillId="0" borderId="14" xfId="1" applyFont="1" applyFill="1" applyBorder="1" applyAlignment="1" applyProtection="1">
      <alignment vertical="center" wrapText="1"/>
      <protection locked="0"/>
    </xf>
    <xf numFmtId="4" fontId="10" fillId="0" borderId="14" xfId="1" applyNumberFormat="1" applyFont="1" applyFill="1" applyBorder="1" applyAlignment="1">
      <alignment horizontal="right" vertical="center" wrapText="1"/>
    </xf>
    <xf numFmtId="4" fontId="11" fillId="2" borderId="14" xfId="1" applyNumberFormat="1" applyFont="1" applyFill="1" applyBorder="1" applyAlignment="1">
      <alignment horizontal="right" vertical="center"/>
    </xf>
    <xf numFmtId="164" fontId="12" fillId="0" borderId="14" xfId="0" applyNumberFormat="1" applyFont="1" applyFill="1" applyBorder="1" applyAlignment="1">
      <alignment horizontal="right" vertical="center"/>
    </xf>
    <xf numFmtId="4" fontId="9" fillId="0" borderId="10" xfId="1" applyNumberFormat="1" applyFont="1" applyFill="1" applyBorder="1" applyAlignment="1">
      <alignment horizontal="right" vertical="center"/>
    </xf>
    <xf numFmtId="0" fontId="10" fillId="2" borderId="0" xfId="5" applyFont="1" applyFill="1" applyBorder="1" applyAlignment="1">
      <alignment vertical="center" wrapText="1"/>
    </xf>
    <xf numFmtId="0" fontId="10" fillId="0" borderId="0" xfId="5" applyFont="1" applyFill="1" applyBorder="1" applyAlignment="1">
      <alignment vertical="center" wrapText="1"/>
    </xf>
    <xf numFmtId="4" fontId="10" fillId="0" borderId="0" xfId="1" applyNumberFormat="1" applyFont="1" applyFill="1" applyBorder="1" applyAlignment="1">
      <alignment vertical="center"/>
    </xf>
    <xf numFmtId="0" fontId="3" fillId="0" borderId="0" xfId="3" applyNumberFormat="1" applyFont="1" applyFill="1" applyBorder="1" applyAlignment="1">
      <alignment horizontal="center" vertical="center" wrapText="1"/>
    </xf>
    <xf numFmtId="0" fontId="1" fillId="10" borderId="0" xfId="1" applyFont="1" applyFill="1" applyBorder="1" applyAlignment="1">
      <alignment horizontal="center" vertical="center"/>
    </xf>
    <xf numFmtId="0" fontId="3" fillId="10" borderId="0" xfId="3" applyNumberFormat="1" applyFont="1" applyFill="1" applyBorder="1" applyAlignment="1">
      <alignment horizontal="center" vertical="center" wrapText="1"/>
    </xf>
    <xf numFmtId="0" fontId="39" fillId="10" borderId="0" xfId="0" applyFont="1" applyFill="1"/>
    <xf numFmtId="0" fontId="40" fillId="0" borderId="0" xfId="0" applyFont="1" applyFill="1"/>
    <xf numFmtId="0" fontId="41" fillId="10" borderId="0" xfId="0" applyFont="1" applyFill="1"/>
    <xf numFmtId="0" fontId="39" fillId="4" borderId="0" xfId="0" applyFont="1" applyFill="1"/>
    <xf numFmtId="49" fontId="1" fillId="0" borderId="0" xfId="1" applyNumberFormat="1" applyFont="1" applyFill="1" applyAlignment="1">
      <alignment horizontal="left"/>
    </xf>
    <xf numFmtId="49" fontId="1" fillId="0" borderId="0" xfId="1" applyNumberFormat="1" applyFont="1" applyFill="1" applyAlignment="1">
      <alignment horizontal="left" vertical="center"/>
    </xf>
    <xf numFmtId="49" fontId="1" fillId="0" borderId="0" xfId="1" applyNumberFormat="1" applyFont="1" applyFill="1" applyBorder="1" applyAlignment="1">
      <alignment horizontal="left" vertical="center"/>
    </xf>
    <xf numFmtId="0" fontId="1" fillId="2" borderId="0" xfId="1" applyFont="1" applyFill="1" applyBorder="1" applyAlignment="1">
      <alignment horizontal="center" vertical="center"/>
    </xf>
    <xf numFmtId="0" fontId="30" fillId="0" borderId="0" xfId="0" applyFont="1" applyFill="1" applyAlignment="1">
      <alignment vertical="center"/>
    </xf>
    <xf numFmtId="0" fontId="30" fillId="0" borderId="0" xfId="1" applyFont="1" applyFill="1" applyBorder="1" applyAlignment="1">
      <alignment horizontal="left" vertical="center"/>
    </xf>
    <xf numFmtId="4" fontId="0" fillId="2" borderId="0" xfId="0" applyNumberFormat="1" applyFill="1" applyAlignment="1">
      <alignment horizontal="right" vertical="center"/>
    </xf>
    <xf numFmtId="4" fontId="0" fillId="2" borderId="0" xfId="0" applyNumberFormat="1" applyFill="1"/>
    <xf numFmtId="0" fontId="42" fillId="0" borderId="0" xfId="1" applyFont="1"/>
    <xf numFmtId="0" fontId="42" fillId="0" borderId="25" xfId="1" applyFont="1" applyBorder="1"/>
    <xf numFmtId="4" fontId="42" fillId="0" borderId="25" xfId="1" applyNumberFormat="1" applyFont="1" applyBorder="1"/>
    <xf numFmtId="0" fontId="3" fillId="0" borderId="25" xfId="1" applyBorder="1"/>
    <xf numFmtId="0" fontId="3" fillId="0" borderId="25" xfId="1" applyBorder="1" applyAlignment="1">
      <alignment horizontal="right"/>
    </xf>
    <xf numFmtId="4" fontId="3" fillId="0" borderId="25" xfId="1" applyNumberFormat="1" applyBorder="1"/>
    <xf numFmtId="4" fontId="6" fillId="0" borderId="25" xfId="1" applyNumberFormat="1" applyFont="1" applyBorder="1"/>
    <xf numFmtId="0" fontId="43" fillId="0" borderId="0" xfId="1" applyFont="1"/>
    <xf numFmtId="14" fontId="30" fillId="2" borderId="0" xfId="0" applyNumberFormat="1" applyFont="1" applyFill="1"/>
    <xf numFmtId="0" fontId="30" fillId="2" borderId="0" xfId="0" applyFont="1" applyFill="1" applyAlignment="1">
      <alignment horizontal="right" vertical="center"/>
    </xf>
    <xf numFmtId="4" fontId="30" fillId="2" borderId="0" xfId="0" applyNumberFormat="1" applyFont="1" applyFill="1" applyAlignment="1">
      <alignment horizontal="right" wrapText="1"/>
    </xf>
    <xf numFmtId="4" fontId="0" fillId="2" borderId="0" xfId="0" applyNumberFormat="1" applyFill="1" applyAlignment="1">
      <alignment horizontal="right" wrapText="1"/>
    </xf>
    <xf numFmtId="4" fontId="44" fillId="2" borderId="0" xfId="0" applyNumberFormat="1" applyFont="1" applyFill="1" applyAlignment="1">
      <alignment horizontal="right" wrapText="1"/>
    </xf>
    <xf numFmtId="0" fontId="44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0" fillId="0" borderId="0" xfId="0" applyFill="1" applyBorder="1" applyAlignment="1">
      <alignment horizontal="center"/>
    </xf>
    <xf numFmtId="3" fontId="0" fillId="0" borderId="0" xfId="0" applyNumberFormat="1" applyFill="1" applyBorder="1" applyAlignment="1">
      <alignment horizontal="right"/>
    </xf>
    <xf numFmtId="0" fontId="0" fillId="0" borderId="16" xfId="0" applyFill="1" applyBorder="1" applyAlignment="1">
      <alignment horizontal="center"/>
    </xf>
    <xf numFmtId="4" fontId="6" fillId="0" borderId="16" xfId="0" applyNumberFormat="1" applyFont="1" applyFill="1" applyBorder="1" applyAlignment="1">
      <alignment horizontal="right"/>
    </xf>
    <xf numFmtId="4" fontId="9" fillId="0" borderId="0" xfId="0" applyNumberFormat="1" applyFont="1" applyFill="1"/>
    <xf numFmtId="4" fontId="45" fillId="0" borderId="0" xfId="0" applyNumberFormat="1" applyFont="1" applyFill="1"/>
    <xf numFmtId="4" fontId="33" fillId="0" borderId="0" xfId="0" applyNumberFormat="1" applyFont="1" applyFill="1"/>
    <xf numFmtId="4" fontId="2" fillId="0" borderId="8" xfId="0" applyNumberFormat="1" applyFont="1" applyFill="1" applyBorder="1" applyAlignment="1">
      <alignment horizontal="right" vertical="center"/>
    </xf>
    <xf numFmtId="4" fontId="2" fillId="0" borderId="0" xfId="0" applyNumberFormat="1" applyFont="1" applyFill="1" applyBorder="1" applyAlignment="1">
      <alignment horizontal="right" vertical="center"/>
    </xf>
    <xf numFmtId="0" fontId="1" fillId="0" borderId="0" xfId="0" applyFont="1" applyFill="1"/>
    <xf numFmtId="0" fontId="44" fillId="0" borderId="0" xfId="1" applyFont="1"/>
    <xf numFmtId="4" fontId="44" fillId="0" borderId="0" xfId="1" applyNumberFormat="1" applyFont="1"/>
    <xf numFmtId="0" fontId="47" fillId="0" borderId="0" xfId="1" applyFont="1"/>
    <xf numFmtId="4" fontId="47" fillId="0" borderId="0" xfId="1" applyNumberFormat="1" applyFont="1"/>
    <xf numFmtId="4" fontId="8" fillId="0" borderId="0" xfId="1" applyNumberFormat="1" applyFont="1" applyFill="1" applyBorder="1" applyAlignment="1">
      <alignment horizontal="center" vertical="center" wrapText="1"/>
    </xf>
    <xf numFmtId="0" fontId="3" fillId="0" borderId="0" xfId="1" applyFill="1" applyBorder="1" applyAlignment="1">
      <alignment horizontal="center" vertical="center"/>
    </xf>
    <xf numFmtId="4" fontId="3" fillId="0" borderId="0" xfId="1" applyNumberFormat="1" applyFill="1" applyBorder="1" applyAlignment="1">
      <alignment horizontal="center" vertical="center"/>
    </xf>
    <xf numFmtId="0" fontId="32" fillId="0" borderId="0" xfId="1" applyFont="1" applyBorder="1" applyAlignment="1">
      <alignment vertical="center"/>
    </xf>
    <xf numFmtId="4" fontId="3" fillId="0" borderId="0" xfId="1" applyNumberFormat="1" applyFont="1" applyBorder="1" applyAlignment="1">
      <alignment vertical="center"/>
    </xf>
    <xf numFmtId="0" fontId="25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25" fillId="0" borderId="16" xfId="1" applyFont="1" applyBorder="1"/>
    <xf numFmtId="4" fontId="6" fillId="0" borderId="11" xfId="1" applyNumberFormat="1" applyFont="1" applyBorder="1"/>
    <xf numFmtId="4" fontId="19" fillId="0" borderId="11" xfId="1" applyNumberFormat="1" applyFont="1" applyBorder="1"/>
    <xf numFmtId="0" fontId="10" fillId="0" borderId="19" xfId="1" applyFont="1" applyFill="1" applyBorder="1" applyAlignment="1">
      <alignment horizontal="left" vertical="center"/>
    </xf>
    <xf numFmtId="4" fontId="10" fillId="0" borderId="4" xfId="1" applyNumberFormat="1" applyFont="1" applyFill="1" applyBorder="1" applyAlignment="1">
      <alignment horizontal="right" vertical="center"/>
    </xf>
    <xf numFmtId="0" fontId="10" fillId="0" borderId="22" xfId="5" applyFont="1" applyFill="1" applyBorder="1" applyAlignment="1">
      <alignment vertical="center" wrapText="1"/>
    </xf>
    <xf numFmtId="4" fontId="10" fillId="0" borderId="9" xfId="1" applyNumberFormat="1" applyFont="1" applyFill="1" applyBorder="1" applyAlignment="1">
      <alignment vertical="center"/>
    </xf>
    <xf numFmtId="164" fontId="10" fillId="0" borderId="6" xfId="1" applyNumberFormat="1" applyFont="1" applyFill="1" applyBorder="1" applyAlignment="1">
      <alignment vertical="center"/>
    </xf>
    <xf numFmtId="4" fontId="10" fillId="0" borderId="4" xfId="1" applyNumberFormat="1" applyFont="1" applyFill="1" applyBorder="1" applyAlignment="1">
      <alignment vertical="center"/>
    </xf>
    <xf numFmtId="4" fontId="10" fillId="0" borderId="16" xfId="1" applyNumberFormat="1" applyFont="1" applyFill="1" applyBorder="1" applyAlignment="1">
      <alignment vertical="center"/>
    </xf>
    <xf numFmtId="4" fontId="10" fillId="0" borderId="4" xfId="1" applyNumberFormat="1" applyFont="1" applyFill="1" applyBorder="1"/>
    <xf numFmtId="4" fontId="10" fillId="0" borderId="13" xfId="1" applyNumberFormat="1" applyFont="1" applyFill="1" applyBorder="1" applyAlignment="1">
      <alignment horizontal="right" vertical="center"/>
    </xf>
    <xf numFmtId="4" fontId="10" fillId="0" borderId="9" xfId="1" applyNumberFormat="1" applyFont="1" applyFill="1" applyBorder="1"/>
    <xf numFmtId="0" fontId="10" fillId="0" borderId="22" xfId="1" applyFont="1" applyFill="1" applyBorder="1" applyAlignment="1">
      <alignment horizontal="left" vertical="center"/>
    </xf>
    <xf numFmtId="4" fontId="10" fillId="0" borderId="4" xfId="1" applyNumberFormat="1" applyFont="1" applyFill="1" applyBorder="1" applyAlignment="1">
      <alignment horizontal="right"/>
    </xf>
    <xf numFmtId="0" fontId="10" fillId="0" borderId="19" xfId="1" applyFont="1" applyFill="1" applyBorder="1" applyAlignment="1">
      <alignment horizontal="left" vertical="center" wrapText="1"/>
    </xf>
    <xf numFmtId="4" fontId="10" fillId="0" borderId="9" xfId="1" applyNumberFormat="1" applyFont="1" applyFill="1" applyBorder="1" applyAlignment="1">
      <alignment horizontal="right"/>
    </xf>
    <xf numFmtId="4" fontId="10" fillId="0" borderId="13" xfId="1" applyNumberFormat="1" applyFont="1" applyFill="1" applyBorder="1" applyAlignment="1">
      <alignment horizontal="right"/>
    </xf>
    <xf numFmtId="4" fontId="11" fillId="0" borderId="0" xfId="1" applyNumberFormat="1" applyFont="1" applyFill="1" applyBorder="1" applyAlignment="1">
      <alignment horizontal="right" vertical="center"/>
    </xf>
    <xf numFmtId="4" fontId="11" fillId="0" borderId="4" xfId="1" applyNumberFormat="1" applyFont="1" applyFill="1" applyBorder="1" applyAlignment="1">
      <alignment horizontal="right" vertical="center"/>
    </xf>
    <xf numFmtId="0" fontId="10" fillId="0" borderId="19" xfId="1" applyFont="1" applyFill="1" applyBorder="1" applyAlignment="1">
      <alignment wrapText="1"/>
    </xf>
    <xf numFmtId="4" fontId="11" fillId="0" borderId="9" xfId="1" applyNumberFormat="1" applyFont="1" applyFill="1" applyBorder="1" applyAlignment="1">
      <alignment horizontal="right" vertical="center"/>
    </xf>
    <xf numFmtId="4" fontId="11" fillId="0" borderId="4" xfId="1" applyNumberFormat="1" applyFont="1" applyFill="1" applyBorder="1" applyAlignment="1">
      <alignment vertical="center"/>
    </xf>
    <xf numFmtId="164" fontId="12" fillId="0" borderId="5" xfId="0" applyNumberFormat="1" applyFont="1" applyFill="1" applyBorder="1" applyAlignment="1">
      <alignment horizontal="right" vertical="center"/>
    </xf>
    <xf numFmtId="4" fontId="10" fillId="0" borderId="4" xfId="0" applyNumberFormat="1" applyFont="1" applyFill="1" applyBorder="1" applyAlignment="1">
      <alignment horizontal="right" vertical="center"/>
    </xf>
    <xf numFmtId="4" fontId="10" fillId="0" borderId="9" xfId="0" applyNumberFormat="1" applyFont="1" applyFill="1" applyBorder="1" applyAlignment="1">
      <alignment horizontal="right" vertical="center"/>
    </xf>
    <xf numFmtId="4" fontId="12" fillId="0" borderId="4" xfId="0" applyNumberFormat="1" applyFont="1" applyFill="1" applyBorder="1" applyAlignment="1">
      <alignment horizontal="right" vertical="center"/>
    </xf>
    <xf numFmtId="164" fontId="1" fillId="0" borderId="5" xfId="0" applyNumberFormat="1" applyFont="1" applyFill="1" applyBorder="1" applyAlignment="1">
      <alignment horizontal="right" vertical="center"/>
    </xf>
    <xf numFmtId="4" fontId="12" fillId="0" borderId="4" xfId="0" applyNumberFormat="1" applyFont="1" applyFill="1" applyBorder="1" applyAlignment="1">
      <alignment horizontal="right"/>
    </xf>
    <xf numFmtId="164" fontId="1" fillId="0" borderId="5" xfId="0" applyNumberFormat="1" applyFont="1" applyFill="1" applyBorder="1" applyAlignment="1">
      <alignment horizontal="right"/>
    </xf>
    <xf numFmtId="4" fontId="12" fillId="0" borderId="9" xfId="0" applyNumberFormat="1" applyFont="1" applyFill="1" applyBorder="1" applyAlignment="1">
      <alignment horizontal="right" vertical="center"/>
    </xf>
    <xf numFmtId="164" fontId="1" fillId="0" borderId="6" xfId="0" applyNumberFormat="1" applyFont="1" applyFill="1" applyBorder="1" applyAlignment="1">
      <alignment horizontal="right" vertical="center"/>
    </xf>
    <xf numFmtId="4" fontId="12" fillId="0" borderId="9" xfId="0" applyNumberFormat="1" applyFont="1" applyFill="1" applyBorder="1" applyAlignment="1">
      <alignment horizontal="right"/>
    </xf>
    <xf numFmtId="164" fontId="1" fillId="0" borderId="6" xfId="0" applyNumberFormat="1" applyFont="1" applyFill="1" applyBorder="1" applyAlignment="1">
      <alignment horizontal="right"/>
    </xf>
    <xf numFmtId="164" fontId="9" fillId="0" borderId="11" xfId="0" applyNumberFormat="1" applyFont="1" applyFill="1" applyBorder="1" applyAlignment="1">
      <alignment horizontal="right" vertical="center"/>
    </xf>
    <xf numFmtId="0" fontId="1" fillId="0" borderId="26" xfId="5" applyFont="1" applyFill="1" applyBorder="1" applyAlignment="1">
      <alignment horizontal="center" vertical="center"/>
    </xf>
    <xf numFmtId="4" fontId="10" fillId="0" borderId="9" xfId="1" applyNumberFormat="1" applyFont="1" applyFill="1" applyBorder="1" applyAlignment="1">
      <alignment horizontal="right" vertical="center"/>
    </xf>
    <xf numFmtId="0" fontId="34" fillId="0" borderId="0" xfId="0" applyFont="1" applyFill="1" applyAlignment="1">
      <alignment vertical="center"/>
    </xf>
    <xf numFmtId="0" fontId="44" fillId="0" borderId="0" xfId="0" applyFont="1" applyFill="1"/>
    <xf numFmtId="4" fontId="35" fillId="0" borderId="0" xfId="0" applyNumberFormat="1" applyFont="1" applyFill="1"/>
    <xf numFmtId="0" fontId="34" fillId="7" borderId="0" xfId="0" applyFont="1" applyFill="1" applyAlignment="1">
      <alignment vertical="center"/>
    </xf>
    <xf numFmtId="4" fontId="9" fillId="0" borderId="10" xfId="0" applyNumberFormat="1" applyFont="1" applyFill="1" applyBorder="1" applyAlignment="1">
      <alignment horizontal="right"/>
    </xf>
    <xf numFmtId="0" fontId="34" fillId="4" borderId="0" xfId="0" applyFont="1" applyFill="1"/>
    <xf numFmtId="0" fontId="50" fillId="0" borderId="0" xfId="0" applyFont="1" applyFill="1" applyAlignment="1">
      <alignment vertical="center"/>
    </xf>
    <xf numFmtId="0" fontId="28" fillId="0" borderId="0" xfId="0" applyFont="1" applyFill="1"/>
    <xf numFmtId="4" fontId="51" fillId="0" borderId="0" xfId="0" applyNumberFormat="1" applyFont="1" applyFill="1"/>
    <xf numFmtId="0" fontId="50" fillId="4" borderId="0" xfId="0" applyFont="1" applyFill="1"/>
    <xf numFmtId="0" fontId="8" fillId="0" borderId="23" xfId="0" applyFont="1" applyFill="1" applyBorder="1" applyAlignment="1">
      <alignment horizontal="center" vertical="center"/>
    </xf>
    <xf numFmtId="4" fontId="8" fillId="0" borderId="23" xfId="0" applyNumberFormat="1" applyFont="1" applyFill="1" applyBorder="1" applyAlignment="1">
      <alignment horizontal="right" vertical="center" wrapText="1"/>
    </xf>
    <xf numFmtId="0" fontId="0" fillId="0" borderId="23" xfId="0" applyFill="1" applyBorder="1" applyAlignment="1">
      <alignment horizontal="right" vertical="center"/>
    </xf>
    <xf numFmtId="4" fontId="0" fillId="0" borderId="23" xfId="0" applyNumberFormat="1" applyFill="1" applyBorder="1" applyAlignment="1">
      <alignment horizontal="right" vertical="center"/>
    </xf>
    <xf numFmtId="0" fontId="1" fillId="0" borderId="0" xfId="1" applyNumberFormat="1" applyFont="1" applyFill="1" applyBorder="1" applyAlignment="1">
      <alignment horizontal="left" vertical="center"/>
    </xf>
    <xf numFmtId="164" fontId="16" fillId="0" borderId="5" xfId="1" applyNumberFormat="1" applyFont="1" applyFill="1" applyBorder="1" applyAlignment="1">
      <alignment vertical="center"/>
    </xf>
    <xf numFmtId="164" fontId="16" fillId="0" borderId="6" xfId="1" applyNumberFormat="1" applyFont="1" applyFill="1" applyBorder="1" applyAlignment="1">
      <alignment vertical="center"/>
    </xf>
    <xf numFmtId="4" fontId="10" fillId="2" borderId="4" xfId="1" applyNumberFormat="1" applyFont="1" applyFill="1" applyBorder="1" applyAlignment="1">
      <alignment vertical="center"/>
    </xf>
    <xf numFmtId="4" fontId="11" fillId="2" borderId="4" xfId="1" applyNumberFormat="1" applyFont="1" applyFill="1" applyBorder="1" applyAlignment="1">
      <alignment horizontal="right" vertical="center"/>
    </xf>
    <xf numFmtId="4" fontId="10" fillId="2" borderId="9" xfId="1" applyNumberFormat="1" applyFont="1" applyFill="1" applyBorder="1" applyAlignment="1">
      <alignment vertical="center"/>
    </xf>
    <xf numFmtId="4" fontId="11" fillId="2" borderId="9" xfId="1" applyNumberFormat="1" applyFont="1" applyFill="1" applyBorder="1" applyAlignment="1">
      <alignment horizontal="right" vertical="center"/>
    </xf>
    <xf numFmtId="1" fontId="10" fillId="0" borderId="0" xfId="1" applyNumberFormat="1" applyFont="1" applyFill="1" applyBorder="1" applyAlignment="1">
      <alignment horizontal="left" vertical="center"/>
    </xf>
    <xf numFmtId="0" fontId="28" fillId="3" borderId="0" xfId="0" applyFont="1" applyFill="1"/>
    <xf numFmtId="4" fontId="51" fillId="3" borderId="0" xfId="0" applyNumberFormat="1" applyFont="1" applyFill="1"/>
    <xf numFmtId="0" fontId="50" fillId="0" borderId="0" xfId="0" applyFont="1" applyFill="1"/>
    <xf numFmtId="0" fontId="41" fillId="10" borderId="0" xfId="0" applyFont="1" applyFill="1" applyAlignment="1">
      <alignment vertical="center"/>
    </xf>
    <xf numFmtId="4" fontId="45" fillId="11" borderId="0" xfId="0" applyNumberFormat="1" applyFont="1" applyFill="1" applyAlignment="1">
      <alignment vertical="center"/>
    </xf>
    <xf numFmtId="4" fontId="45" fillId="0" borderId="0" xfId="1" applyNumberFormat="1" applyFont="1" applyBorder="1"/>
    <xf numFmtId="4" fontId="9" fillId="0" borderId="0" xfId="1" applyNumberFormat="1" applyFont="1"/>
    <xf numFmtId="4" fontId="14" fillId="0" borderId="0" xfId="1" applyNumberFormat="1" applyFont="1" applyAlignment="1">
      <alignment vertical="center"/>
    </xf>
    <xf numFmtId="4" fontId="52" fillId="0" borderId="0" xfId="1" applyNumberFormat="1" applyFont="1" applyAlignment="1">
      <alignment vertical="center"/>
    </xf>
    <xf numFmtId="4" fontId="3" fillId="0" borderId="0" xfId="1" applyNumberFormat="1" applyAlignment="1">
      <alignment vertical="center"/>
    </xf>
    <xf numFmtId="0" fontId="39" fillId="0" borderId="0" xfId="1" applyFont="1"/>
    <xf numFmtId="0" fontId="44" fillId="0" borderId="0" xfId="1" applyFont="1" applyAlignment="1">
      <alignment vertical="center"/>
    </xf>
    <xf numFmtId="4" fontId="1" fillId="0" borderId="0" xfId="0" applyNumberFormat="1" applyFont="1" applyFill="1"/>
    <xf numFmtId="4" fontId="6" fillId="0" borderId="0" xfId="0" applyNumberFormat="1" applyFont="1" applyFill="1"/>
    <xf numFmtId="4" fontId="19" fillId="0" borderId="0" xfId="0" applyNumberFormat="1" applyFont="1" applyFill="1"/>
    <xf numFmtId="0" fontId="29" fillId="0" borderId="0" xfId="0" applyFont="1" applyFill="1"/>
    <xf numFmtId="4" fontId="29" fillId="0" borderId="0" xfId="0" applyNumberFormat="1" applyFont="1" applyFill="1"/>
    <xf numFmtId="0" fontId="48" fillId="0" borderId="0" xfId="1" applyFont="1" applyAlignment="1">
      <alignment vertical="center"/>
    </xf>
    <xf numFmtId="4" fontId="10" fillId="0" borderId="0" xfId="1" applyNumberFormat="1" applyFont="1" applyFill="1" applyBorder="1" applyAlignment="1">
      <alignment horizontal="right" vertical="center"/>
    </xf>
    <xf numFmtId="0" fontId="10" fillId="0" borderId="19" xfId="5" applyFont="1" applyFill="1" applyBorder="1" applyAlignment="1">
      <alignment vertical="center" wrapText="1"/>
    </xf>
    <xf numFmtId="0" fontId="54" fillId="0" borderId="0" xfId="1" applyFont="1"/>
    <xf numFmtId="0" fontId="55" fillId="0" borderId="0" xfId="0" applyFont="1" applyFill="1"/>
    <xf numFmtId="4" fontId="33" fillId="0" borderId="0" xfId="0" applyNumberFormat="1" applyFont="1" applyFill="1" applyAlignment="1">
      <alignment vertical="center"/>
    </xf>
    <xf numFmtId="0" fontId="48" fillId="0" borderId="0" xfId="1" applyFont="1"/>
    <xf numFmtId="0" fontId="3" fillId="0" borderId="0" xfId="1" applyFont="1" applyAlignment="1">
      <alignment horizontal="left" vertical="center"/>
    </xf>
    <xf numFmtId="0" fontId="48" fillId="0" borderId="0" xfId="0" applyFont="1" applyFill="1"/>
    <xf numFmtId="4" fontId="53" fillId="0" borderId="0" xfId="0" applyNumberFormat="1" applyFont="1" applyFill="1"/>
    <xf numFmtId="0" fontId="56" fillId="0" borderId="0" xfId="1" applyFont="1"/>
    <xf numFmtId="0" fontId="7" fillId="2" borderId="0" xfId="1" applyFont="1" applyFill="1" applyBorder="1" applyAlignment="1">
      <alignment vertical="center" wrapText="1"/>
    </xf>
    <xf numFmtId="4" fontId="2" fillId="2" borderId="0" xfId="1" applyNumberFormat="1" applyFont="1" applyFill="1" applyBorder="1" applyAlignment="1">
      <alignment vertical="center"/>
    </xf>
    <xf numFmtId="164" fontId="17" fillId="0" borderId="0" xfId="1" applyNumberFormat="1" applyFont="1" applyFill="1" applyBorder="1" applyAlignment="1">
      <alignment vertical="center"/>
    </xf>
    <xf numFmtId="0" fontId="1" fillId="0" borderId="0" xfId="1" applyFont="1" applyFill="1" applyAlignment="1">
      <alignment horizontal="right"/>
    </xf>
    <xf numFmtId="164" fontId="1" fillId="0" borderId="0" xfId="1" applyNumberFormat="1" applyFont="1" applyFill="1" applyBorder="1" applyAlignment="1">
      <alignment vertical="center"/>
    </xf>
    <xf numFmtId="0" fontId="1" fillId="10" borderId="0" xfId="3" applyNumberFormat="1" applyFont="1" applyFill="1" applyBorder="1" applyAlignment="1">
      <alignment horizontal="center" vertical="center" wrapText="1"/>
    </xf>
    <xf numFmtId="0" fontId="9" fillId="0" borderId="21" xfId="1" applyFont="1" applyFill="1" applyBorder="1" applyAlignment="1">
      <alignment horizontal="left" vertical="center"/>
    </xf>
    <xf numFmtId="164" fontId="14" fillId="0" borderId="11" xfId="1" applyNumberFormat="1" applyFont="1" applyFill="1" applyBorder="1" applyAlignment="1">
      <alignment vertical="center"/>
    </xf>
    <xf numFmtId="4" fontId="10" fillId="0" borderId="17" xfId="1" applyNumberFormat="1" applyFont="1" applyFill="1" applyBorder="1" applyAlignment="1">
      <alignment horizontal="right" vertical="center"/>
    </xf>
    <xf numFmtId="4" fontId="10" fillId="0" borderId="9" xfId="1" applyNumberFormat="1" applyFont="1" applyBorder="1" applyAlignment="1">
      <alignment vertical="center"/>
    </xf>
    <xf numFmtId="4" fontId="9" fillId="0" borderId="27" xfId="1" applyNumberFormat="1" applyFont="1" applyFill="1" applyBorder="1" applyAlignment="1">
      <alignment horizontal="right" vertical="center"/>
    </xf>
    <xf numFmtId="0" fontId="10" fillId="0" borderId="0" xfId="1" applyFont="1" applyFill="1" applyBorder="1"/>
    <xf numFmtId="0" fontId="10" fillId="0" borderId="19" xfId="1" applyFont="1" applyFill="1" applyBorder="1"/>
    <xf numFmtId="4" fontId="10" fillId="0" borderId="5" xfId="1" applyNumberFormat="1" applyFont="1" applyFill="1" applyBorder="1"/>
    <xf numFmtId="0" fontId="2" fillId="0" borderId="19" xfId="1" applyFont="1" applyFill="1" applyBorder="1"/>
    <xf numFmtId="4" fontId="6" fillId="0" borderId="4" xfId="1" applyNumberFormat="1" applyFont="1" applyFill="1" applyBorder="1"/>
    <xf numFmtId="4" fontId="6" fillId="0" borderId="5" xfId="1" applyNumberFormat="1" applyFont="1" applyFill="1" applyBorder="1"/>
    <xf numFmtId="0" fontId="2" fillId="0" borderId="19" xfId="1" applyFont="1" applyFill="1" applyBorder="1" applyAlignment="1">
      <alignment wrapText="1"/>
    </xf>
    <xf numFmtId="4" fontId="6" fillId="0" borderId="4" xfId="1" applyNumberFormat="1" applyFont="1" applyFill="1" applyBorder="1" applyAlignment="1">
      <alignment vertical="center"/>
    </xf>
    <xf numFmtId="4" fontId="6" fillId="0" borderId="5" xfId="1" applyNumberFormat="1" applyFont="1" applyFill="1" applyBorder="1" applyAlignment="1">
      <alignment vertical="center"/>
    </xf>
    <xf numFmtId="0" fontId="19" fillId="0" borderId="19" xfId="1" applyFont="1" applyFill="1" applyBorder="1" applyAlignment="1">
      <alignment horizontal="left"/>
    </xf>
    <xf numFmtId="4" fontId="19" fillId="0" borderId="4" xfId="1" applyNumberFormat="1" applyFont="1" applyFill="1" applyBorder="1"/>
    <xf numFmtId="4" fontId="19" fillId="0" borderId="5" xfId="1" applyNumberFormat="1" applyFont="1" applyFill="1" applyBorder="1"/>
    <xf numFmtId="4" fontId="57" fillId="0" borderId="0" xfId="0" applyNumberFormat="1" applyFont="1" applyFill="1"/>
    <xf numFmtId="4" fontId="6" fillId="0" borderId="0" xfId="1" applyNumberFormat="1" applyFont="1" applyFill="1"/>
    <xf numFmtId="4" fontId="33" fillId="0" borderId="0" xfId="1" applyNumberFormat="1" applyFont="1" applyFill="1"/>
    <xf numFmtId="4" fontId="58" fillId="0" borderId="0" xfId="1" applyNumberFormat="1" applyFont="1" applyAlignment="1">
      <alignment vertical="center"/>
    </xf>
    <xf numFmtId="4" fontId="59" fillId="0" borderId="0" xfId="1" applyNumberFormat="1" applyFont="1" applyAlignment="1">
      <alignment vertical="center"/>
    </xf>
    <xf numFmtId="4" fontId="60" fillId="0" borderId="0" xfId="0" applyNumberFormat="1" applyFont="1" applyFill="1"/>
    <xf numFmtId="0" fontId="61" fillId="0" borderId="0" xfId="1" applyFont="1"/>
    <xf numFmtId="4" fontId="62" fillId="0" borderId="0" xfId="1" applyNumberFormat="1" applyFont="1" applyAlignment="1">
      <alignment vertical="center"/>
    </xf>
    <xf numFmtId="0" fontId="61" fillId="0" borderId="0" xfId="1" applyFont="1" applyAlignment="1">
      <alignment vertical="center"/>
    </xf>
    <xf numFmtId="4" fontId="48" fillId="0" borderId="0" xfId="1" applyNumberFormat="1" applyFont="1"/>
    <xf numFmtId="4" fontId="46" fillId="0" borderId="0" xfId="1" applyNumberFormat="1" applyFont="1" applyFill="1"/>
    <xf numFmtId="4" fontId="41" fillId="0" borderId="0" xfId="0" applyNumberFormat="1" applyFont="1" applyFill="1"/>
    <xf numFmtId="4" fontId="61" fillId="0" borderId="0" xfId="0" applyNumberFormat="1" applyFont="1" applyFill="1"/>
    <xf numFmtId="4" fontId="40" fillId="0" borderId="0" xfId="0" applyNumberFormat="1" applyFont="1" applyFill="1"/>
    <xf numFmtId="4" fontId="30" fillId="0" borderId="0" xfId="0" applyNumberFormat="1" applyFont="1" applyFill="1"/>
    <xf numFmtId="4" fontId="6" fillId="0" borderId="0" xfId="1" applyNumberFormat="1" applyFont="1"/>
    <xf numFmtId="4" fontId="30" fillId="0" borderId="0" xfId="1" applyNumberFormat="1" applyFont="1"/>
    <xf numFmtId="4" fontId="6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4" fontId="0" fillId="0" borderId="0" xfId="0" applyNumberFormat="1" applyFill="1" applyBorder="1" applyAlignment="1">
      <alignment horizontal="right"/>
    </xf>
    <xf numFmtId="0" fontId="18" fillId="0" borderId="19" xfId="0" applyFont="1" applyFill="1" applyBorder="1" applyAlignment="1">
      <alignment horizontal="left" wrapText="1"/>
    </xf>
    <xf numFmtId="0" fontId="18" fillId="0" borderId="19" xfId="0" applyFont="1" applyFill="1" applyBorder="1" applyAlignment="1">
      <alignment horizontal="left" vertical="center"/>
    </xf>
    <xf numFmtId="0" fontId="18" fillId="0" borderId="19" xfId="0" applyFont="1" applyFill="1" applyBorder="1" applyAlignment="1">
      <alignment horizontal="left" vertical="center" wrapText="1"/>
    </xf>
    <xf numFmtId="0" fontId="18" fillId="0" borderId="22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left" vertical="center" wrapText="1"/>
    </xf>
    <xf numFmtId="0" fontId="18" fillId="0" borderId="19" xfId="0" applyFont="1" applyFill="1" applyBorder="1" applyAlignment="1">
      <alignment horizontal="left"/>
    </xf>
    <xf numFmtId="0" fontId="18" fillId="0" borderId="12" xfId="0" applyFont="1" applyFill="1" applyBorder="1" applyAlignment="1">
      <alignment horizontal="left"/>
    </xf>
    <xf numFmtId="0" fontId="18" fillId="0" borderId="15" xfId="0" applyFont="1" applyFill="1" applyBorder="1" applyAlignment="1">
      <alignment horizontal="left"/>
    </xf>
    <xf numFmtId="0" fontId="18" fillId="0" borderId="22" xfId="0" applyFont="1" applyFill="1" applyBorder="1" applyAlignment="1">
      <alignment horizontal="left" wrapText="1"/>
    </xf>
    <xf numFmtId="0" fontId="18" fillId="0" borderId="15" xfId="0" applyFont="1" applyFill="1" applyBorder="1" applyAlignment="1">
      <alignment horizontal="left" vertical="center" wrapText="1"/>
    </xf>
    <xf numFmtId="0" fontId="49" fillId="0" borderId="19" xfId="0" applyFont="1" applyFill="1" applyBorder="1" applyAlignment="1"/>
    <xf numFmtId="0" fontId="10" fillId="0" borderId="19" xfId="1" applyFont="1" applyFill="1" applyBorder="1" applyAlignment="1">
      <alignment vertical="center"/>
    </xf>
    <xf numFmtId="0" fontId="10" fillId="0" borderId="22" xfId="1" applyFont="1" applyFill="1" applyBorder="1" applyAlignment="1">
      <alignment vertical="center" wrapText="1"/>
    </xf>
    <xf numFmtId="0" fontId="10" fillId="0" borderId="22" xfId="1" applyFont="1" applyFill="1" applyBorder="1"/>
    <xf numFmtId="0" fontId="10" fillId="0" borderId="19" xfId="5" applyFont="1" applyFill="1" applyBorder="1" applyAlignment="1">
      <alignment horizontal="left" vertical="center" wrapText="1"/>
    </xf>
    <xf numFmtId="0" fontId="10" fillId="0" borderId="19" xfId="6" applyFont="1" applyFill="1" applyBorder="1" applyAlignment="1">
      <alignment horizontal="left"/>
    </xf>
    <xf numFmtId="0" fontId="10" fillId="0" borderId="19" xfId="6" applyFont="1" applyFill="1" applyBorder="1" applyAlignment="1">
      <alignment horizontal="left" wrapText="1"/>
    </xf>
    <xf numFmtId="0" fontId="10" fillId="0" borderId="22" xfId="1" applyFont="1" applyFill="1" applyBorder="1" applyAlignment="1">
      <alignment wrapText="1"/>
    </xf>
    <xf numFmtId="0" fontId="10" fillId="0" borderId="19" xfId="1" applyFont="1" applyFill="1" applyBorder="1" applyAlignment="1">
      <alignment vertical="top" wrapText="1" shrinkToFit="1"/>
    </xf>
    <xf numFmtId="49" fontId="13" fillId="0" borderId="19" xfId="4" applyNumberFormat="1" applyFont="1" applyFill="1" applyBorder="1" applyAlignment="1">
      <alignment horizontal="left" vertical="center" wrapText="1"/>
    </xf>
    <xf numFmtId="0" fontId="10" fillId="0" borderId="22" xfId="1" applyFont="1" applyFill="1" applyBorder="1" applyAlignment="1">
      <alignment vertical="center"/>
    </xf>
  </cellXfs>
  <cellStyles count="8">
    <cellStyle name="Normální" xfId="0" builtinId="0"/>
    <cellStyle name="Normální 2" xfId="1"/>
    <cellStyle name="normální 2 2" xfId="7"/>
    <cellStyle name="normální_Investice 2005-sociální, zdravotní, kutura" xfId="2"/>
    <cellStyle name="normální_Investice 2005-sociální, zdravotní, kutura 2" xfId="3"/>
    <cellStyle name="normální_Kultura -Přehled investic PO OKPP na rok 2009 - 3.10.2008" xfId="4"/>
    <cellStyle name="normální_Sociální - investice a opravy 2009 - sumarizace vč. prior - 10-12-2008" xfId="5"/>
    <cellStyle name="normální_Studie IZ - silnice 2003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M62"/>
  <sheetViews>
    <sheetView showGridLines="0" tabSelected="1" view="pageBreakPreview" zoomScaleNormal="100" zoomScaleSheetLayoutView="100" workbookViewId="0">
      <selection activeCell="F24" sqref="F24"/>
    </sheetView>
  </sheetViews>
  <sheetFormatPr defaultRowHeight="12.75" x14ac:dyDescent="0.2"/>
  <cols>
    <col min="1" max="1" width="29.140625" style="27" customWidth="1"/>
    <col min="2" max="2" width="19.5703125" style="27" customWidth="1"/>
    <col min="3" max="4" width="21.85546875" style="27" bestFit="1" customWidth="1"/>
    <col min="5" max="5" width="3.28515625" style="27" customWidth="1"/>
    <col min="6" max="6" width="22.5703125" style="27" customWidth="1"/>
    <col min="7" max="7" width="23.7109375" style="27" customWidth="1"/>
    <col min="8" max="8" width="16.28515625" style="27" bestFit="1" customWidth="1"/>
    <col min="9" max="9" width="18.85546875" style="27" customWidth="1"/>
    <col min="10" max="16384" width="9.140625" style="27"/>
  </cols>
  <sheetData>
    <row r="1" spans="1:9" ht="18" x14ac:dyDescent="0.25">
      <c r="A1" s="34" t="s">
        <v>363</v>
      </c>
      <c r="B1" s="35"/>
      <c r="C1" s="35"/>
      <c r="D1" s="35"/>
    </row>
    <row r="2" spans="1:9" ht="18.75" thickBot="1" x14ac:dyDescent="0.3">
      <c r="A2" s="36"/>
      <c r="B2" s="37"/>
      <c r="C2" s="37"/>
      <c r="D2" s="38" t="s">
        <v>18</v>
      </c>
    </row>
    <row r="3" spans="1:9" ht="14.25" thickTop="1" thickBot="1" x14ac:dyDescent="0.25">
      <c r="A3" s="39"/>
      <c r="B3" s="40" t="s">
        <v>0</v>
      </c>
      <c r="C3" s="41" t="s">
        <v>1</v>
      </c>
      <c r="D3" s="42" t="s">
        <v>4</v>
      </c>
    </row>
    <row r="4" spans="1:9" ht="16.5" thickTop="1" x14ac:dyDescent="0.25">
      <c r="A4" s="43" t="s">
        <v>7</v>
      </c>
      <c r="B4" s="174">
        <f>SUM(B5:B7)</f>
        <v>79000</v>
      </c>
      <c r="C4" s="44">
        <f>SUM(C5:C7)</f>
        <v>470343862.1099999</v>
      </c>
      <c r="D4" s="294">
        <f>SUM(D5:D7)</f>
        <v>404581044.72000003</v>
      </c>
    </row>
    <row r="5" spans="1:9" x14ac:dyDescent="0.2">
      <c r="A5" s="392" t="s">
        <v>33</v>
      </c>
      <c r="B5" s="303">
        <f>'8c. OK 2014'!B310</f>
        <v>79000</v>
      </c>
      <c r="C5" s="303">
        <f>'8c. OK 2014'!C310</f>
        <v>134423256.08999997</v>
      </c>
      <c r="D5" s="393">
        <f>'8c. OK 2014'!D310</f>
        <v>113614744.73</v>
      </c>
    </row>
    <row r="6" spans="1:9" x14ac:dyDescent="0.2">
      <c r="A6" s="392" t="s">
        <v>35</v>
      </c>
      <c r="B6" s="303">
        <f>'8a. EIB - Evropské programy'!B107</f>
        <v>0</v>
      </c>
      <c r="C6" s="303">
        <f>'8a. EIB - Evropské programy'!C107</f>
        <v>144196941.86999997</v>
      </c>
      <c r="D6" s="393">
        <f>'8a. EIB - Evropské programy'!D107</f>
        <v>133407535.59</v>
      </c>
    </row>
    <row r="7" spans="1:9" x14ac:dyDescent="0.2">
      <c r="A7" s="392" t="s">
        <v>198</v>
      </c>
      <c r="B7" s="303">
        <f>'d) dotace'!B85</f>
        <v>0</v>
      </c>
      <c r="C7" s="303">
        <f>'d) dotace'!C85</f>
        <v>191723664.14999998</v>
      </c>
      <c r="D7" s="393">
        <f>'d) dotace'!D85</f>
        <v>157558764.40000001</v>
      </c>
    </row>
    <row r="8" spans="1:9" ht="15.75" x14ac:dyDescent="0.25">
      <c r="A8" s="394" t="s">
        <v>9</v>
      </c>
      <c r="B8" s="395">
        <f>SUM(B9:B12)</f>
        <v>54931000</v>
      </c>
      <c r="C8" s="395">
        <f>SUM(C9:C12)</f>
        <v>360083146.05000001</v>
      </c>
      <c r="D8" s="396">
        <f>SUM(D9:D12)</f>
        <v>301254744.60999995</v>
      </c>
    </row>
    <row r="9" spans="1:9" x14ac:dyDescent="0.2">
      <c r="A9" s="392" t="s">
        <v>33</v>
      </c>
      <c r="B9" s="303">
        <f>'8c. OK 2014'!B311</f>
        <v>27171000</v>
      </c>
      <c r="C9" s="303">
        <f>'8c. OK 2014'!C311</f>
        <v>121736862.58000001</v>
      </c>
      <c r="D9" s="393">
        <f>'8c. OK 2014'!D311</f>
        <v>107466610.55</v>
      </c>
      <c r="G9" s="45"/>
      <c r="H9" s="46"/>
      <c r="I9" s="47"/>
    </row>
    <row r="10" spans="1:9" x14ac:dyDescent="0.2">
      <c r="A10" s="392" t="s">
        <v>34</v>
      </c>
      <c r="B10" s="303">
        <f>'8b. KB 2014'!B15</f>
        <v>0</v>
      </c>
      <c r="C10" s="303">
        <f>'8b. KB 2014'!C15</f>
        <v>2628249.88</v>
      </c>
      <c r="D10" s="393">
        <f>'8b. KB 2014'!D15</f>
        <v>2628249.88</v>
      </c>
      <c r="G10" s="35"/>
      <c r="H10" s="35"/>
      <c r="I10" s="35"/>
    </row>
    <row r="11" spans="1:9" x14ac:dyDescent="0.2">
      <c r="A11" s="392" t="s">
        <v>35</v>
      </c>
      <c r="B11" s="303">
        <f>'8a. EIB - Evropské programy'!B108</f>
        <v>27760000</v>
      </c>
      <c r="C11" s="303">
        <f>'8a. EIB - Evropské programy'!C108</f>
        <v>77297582.920000002</v>
      </c>
      <c r="D11" s="393">
        <f>'8a. EIB - Evropské programy'!D108</f>
        <v>75836064.979999989</v>
      </c>
    </row>
    <row r="12" spans="1:9" x14ac:dyDescent="0.2">
      <c r="A12" s="392" t="s">
        <v>198</v>
      </c>
      <c r="B12" s="303">
        <f>'d) dotace'!B86</f>
        <v>0</v>
      </c>
      <c r="C12" s="303">
        <f>'d) dotace'!C86</f>
        <v>158420450.67000002</v>
      </c>
      <c r="D12" s="393">
        <f>'d) dotace'!D86</f>
        <v>115323819.2</v>
      </c>
    </row>
    <row r="13" spans="1:9" ht="15.75" x14ac:dyDescent="0.25">
      <c r="A13" s="394" t="s">
        <v>11</v>
      </c>
      <c r="B13" s="395">
        <f>SUM(B14:B16)</f>
        <v>115179000</v>
      </c>
      <c r="C13" s="395">
        <f>SUM(C14:C16)</f>
        <v>359105494.55000001</v>
      </c>
      <c r="D13" s="396">
        <f>SUM(D14:D16)</f>
        <v>220588284.68000001</v>
      </c>
    </row>
    <row r="14" spans="1:9" x14ac:dyDescent="0.2">
      <c r="A14" s="392" t="s">
        <v>33</v>
      </c>
      <c r="B14" s="303">
        <f>'8c. OK 2014'!B312</f>
        <v>115179000</v>
      </c>
      <c r="C14" s="303">
        <f>'8c. OK 2014'!C312</f>
        <v>101171932.50999999</v>
      </c>
      <c r="D14" s="393">
        <f>'8c. OK 2014'!D312</f>
        <v>87764160</v>
      </c>
    </row>
    <row r="15" spans="1:9" x14ac:dyDescent="0.2">
      <c r="A15" s="392" t="s">
        <v>35</v>
      </c>
      <c r="B15" s="303">
        <f>'8a. EIB - Evropské programy'!B109</f>
        <v>0</v>
      </c>
      <c r="C15" s="303">
        <f>'8a. EIB - Evropské programy'!C109</f>
        <v>52724163.100000009</v>
      </c>
      <c r="D15" s="393">
        <f>'8a. EIB - Evropské programy'!D109</f>
        <v>43491104.019999996</v>
      </c>
    </row>
    <row r="16" spans="1:9" x14ac:dyDescent="0.2">
      <c r="A16" s="392" t="s">
        <v>198</v>
      </c>
      <c r="B16" s="303">
        <f>'d) dotace'!B87</f>
        <v>0</v>
      </c>
      <c r="C16" s="303">
        <f>'d) dotace'!C87</f>
        <v>205209398.94</v>
      </c>
      <c r="D16" s="303">
        <f>'d) dotace'!D87</f>
        <v>89333020.660000011</v>
      </c>
    </row>
    <row r="17" spans="1:4" ht="15.75" x14ac:dyDescent="0.25">
      <c r="A17" s="394" t="s">
        <v>8</v>
      </c>
      <c r="B17" s="395">
        <f>SUM(B18:B18)</f>
        <v>3499000</v>
      </c>
      <c r="C17" s="395">
        <f>SUM(C18:C18)</f>
        <v>6710050.3199999994</v>
      </c>
      <c r="D17" s="396">
        <f>SUM(D18:D18)</f>
        <v>6451056.0599999996</v>
      </c>
    </row>
    <row r="18" spans="1:4" x14ac:dyDescent="0.2">
      <c r="A18" s="392" t="s">
        <v>33</v>
      </c>
      <c r="B18" s="303">
        <f>'8c. OK 2014'!B313</f>
        <v>3499000</v>
      </c>
      <c r="C18" s="303">
        <f>'8c. OK 2014'!C313</f>
        <v>6710050.3199999994</v>
      </c>
      <c r="D18" s="393">
        <f>'8c. OK 2014'!D313</f>
        <v>6451056.0599999996</v>
      </c>
    </row>
    <row r="19" spans="1:4" ht="15.75" x14ac:dyDescent="0.25">
      <c r="A19" s="394" t="s">
        <v>10</v>
      </c>
      <c r="B19" s="395">
        <f>SUM(B20:B21)</f>
        <v>53824000</v>
      </c>
      <c r="C19" s="395">
        <f>SUM(C20:C21)</f>
        <v>114124129.68000001</v>
      </c>
      <c r="D19" s="396">
        <f>SUM(D20:D21)</f>
        <v>95966301.530000001</v>
      </c>
    </row>
    <row r="20" spans="1:4" x14ac:dyDescent="0.2">
      <c r="A20" s="392" t="s">
        <v>33</v>
      </c>
      <c r="B20" s="303">
        <f>'8c. OK 2014'!B314</f>
        <v>53824000</v>
      </c>
      <c r="C20" s="303">
        <f>'8c. OK 2014'!C314</f>
        <v>100951450.18000001</v>
      </c>
      <c r="D20" s="393">
        <f>'8c. OK 2014'!D314</f>
        <v>83390396.450000003</v>
      </c>
    </row>
    <row r="21" spans="1:4" x14ac:dyDescent="0.2">
      <c r="A21" s="392" t="s">
        <v>35</v>
      </c>
      <c r="B21" s="303">
        <f>'8a. EIB - Evropské programy'!B110</f>
        <v>0</v>
      </c>
      <c r="C21" s="303">
        <f>'8a. EIB - Evropské programy'!C110</f>
        <v>13172679.5</v>
      </c>
      <c r="D21" s="393">
        <f>'8a. EIB - Evropské programy'!D110</f>
        <v>12575905.08</v>
      </c>
    </row>
    <row r="22" spans="1:4" ht="15.75" x14ac:dyDescent="0.25">
      <c r="A22" s="394" t="s">
        <v>362</v>
      </c>
      <c r="B22" s="395">
        <f>SUM(B23)</f>
        <v>0</v>
      </c>
      <c r="C22" s="395">
        <f t="shared" ref="C22:D22" si="0">SUM(C23)</f>
        <v>990584</v>
      </c>
      <c r="D22" s="395">
        <f t="shared" si="0"/>
        <v>709241.5</v>
      </c>
    </row>
    <row r="23" spans="1:4" x14ac:dyDescent="0.2">
      <c r="A23" s="392" t="s">
        <v>35</v>
      </c>
      <c r="B23" s="303">
        <f>'8a. EIB - Evropské programy'!B111</f>
        <v>0</v>
      </c>
      <c r="C23" s="303">
        <f>'8a. EIB - Evropské programy'!C111</f>
        <v>990584</v>
      </c>
      <c r="D23" s="393">
        <f>'8a. EIB - Evropské programy'!D111</f>
        <v>709241.5</v>
      </c>
    </row>
    <row r="24" spans="1:4" ht="31.5" x14ac:dyDescent="0.25">
      <c r="A24" s="397" t="s">
        <v>80</v>
      </c>
      <c r="B24" s="398">
        <f>SUM(B25)</f>
        <v>0</v>
      </c>
      <c r="C24" s="398">
        <f>SUM(C25)</f>
        <v>3960946</v>
      </c>
      <c r="D24" s="399">
        <f>SUM(D25)</f>
        <v>3960917</v>
      </c>
    </row>
    <row r="25" spans="1:4" x14ac:dyDescent="0.2">
      <c r="A25" s="392" t="s">
        <v>35</v>
      </c>
      <c r="B25" s="303">
        <f>'8a. EIB - Evropské programy'!B112</f>
        <v>0</v>
      </c>
      <c r="C25" s="303">
        <f>'8a. EIB - Evropské programy'!C112</f>
        <v>3960946</v>
      </c>
      <c r="D25" s="393">
        <f>'8a. EIB - Evropské programy'!D112</f>
        <v>3960917</v>
      </c>
    </row>
    <row r="26" spans="1:4" ht="15.75" x14ac:dyDescent="0.25">
      <c r="A26" s="394" t="s">
        <v>36</v>
      </c>
      <c r="B26" s="395">
        <f>SUM(B27:B27)</f>
        <v>1627000</v>
      </c>
      <c r="C26" s="395">
        <f>SUM(C27:C27)</f>
        <v>5165655</v>
      </c>
      <c r="D26" s="396">
        <f>SUM(D27:D27)</f>
        <v>3837741.64</v>
      </c>
    </row>
    <row r="27" spans="1:4" ht="13.5" thickBot="1" x14ac:dyDescent="0.25">
      <c r="A27" s="392" t="s">
        <v>33</v>
      </c>
      <c r="B27" s="303">
        <f>'8c. OK 2014'!B315</f>
        <v>1627000</v>
      </c>
      <c r="C27" s="303">
        <f>'8c. OK 2014'!C315</f>
        <v>5165655</v>
      </c>
      <c r="D27" s="393">
        <f>'8c. OK 2014'!D315</f>
        <v>3837741.64</v>
      </c>
    </row>
    <row r="28" spans="1:4" ht="17.25" thickTop="1" thickBot="1" x14ac:dyDescent="0.3">
      <c r="A28" s="48" t="s">
        <v>37</v>
      </c>
      <c r="B28" s="49">
        <f>SUM(B4,B8,B13,B17,B19,B22,B24,B26)</f>
        <v>229139000</v>
      </c>
      <c r="C28" s="49">
        <f t="shared" ref="C28:D28" si="1">SUM(C4,C8,C13,C17,C19,C22,C24,C26)</f>
        <v>1320483867.7099998</v>
      </c>
      <c r="D28" s="50">
        <f t="shared" si="1"/>
        <v>1037349331.7399999</v>
      </c>
    </row>
    <row r="29" spans="1:4" s="53" customFormat="1" ht="16.5" thickTop="1" x14ac:dyDescent="0.25">
      <c r="A29" s="51"/>
      <c r="B29" s="52"/>
      <c r="C29" s="52"/>
      <c r="D29" s="52"/>
    </row>
    <row r="30" spans="1:4" s="53" customFormat="1" ht="15.75" x14ac:dyDescent="0.25">
      <c r="A30" s="51"/>
      <c r="B30" s="52"/>
      <c r="C30" s="52"/>
      <c r="D30" s="52"/>
    </row>
    <row r="31" spans="1:4" s="53" customFormat="1" ht="15.75" x14ac:dyDescent="0.25">
      <c r="A31" s="51"/>
      <c r="B31" s="52"/>
      <c r="C31" s="52"/>
      <c r="D31" s="52"/>
    </row>
    <row r="32" spans="1:4" s="53" customFormat="1" ht="15.75" x14ac:dyDescent="0.25">
      <c r="A32" s="54" t="s">
        <v>38</v>
      </c>
      <c r="B32" s="52"/>
      <c r="C32" s="52"/>
      <c r="D32" s="52"/>
    </row>
    <row r="33" spans="1:13" s="53" customFormat="1" ht="16.5" thickBot="1" x14ac:dyDescent="0.3">
      <c r="A33" s="54"/>
      <c r="B33" s="52"/>
      <c r="C33" s="52"/>
      <c r="D33" s="38" t="s">
        <v>18</v>
      </c>
    </row>
    <row r="34" spans="1:13" s="53" customFormat="1" ht="14.25" thickTop="1" thickBot="1" x14ac:dyDescent="0.25">
      <c r="A34" s="39"/>
      <c r="B34" s="40" t="s">
        <v>0</v>
      </c>
      <c r="C34" s="41" t="s">
        <v>1</v>
      </c>
      <c r="D34" s="42" t="s">
        <v>4</v>
      </c>
    </row>
    <row r="35" spans="1:13" s="57" customFormat="1" ht="15" thickTop="1" x14ac:dyDescent="0.2">
      <c r="A35" s="55" t="s">
        <v>39</v>
      </c>
      <c r="B35" s="56">
        <f>'8c. OK 2014'!B316</f>
        <v>201379000</v>
      </c>
      <c r="C35" s="56">
        <f>'8c. OK 2014'!C316</f>
        <v>470159206.67999995</v>
      </c>
      <c r="D35" s="295">
        <f>'8c. OK 2014'!D316</f>
        <v>402524709.42999995</v>
      </c>
    </row>
    <row r="36" spans="1:13" s="57" customFormat="1" ht="14.25" x14ac:dyDescent="0.2">
      <c r="A36" s="55" t="s">
        <v>40</v>
      </c>
      <c r="B36" s="56">
        <f>'8b. KB 2014'!B16</f>
        <v>0</v>
      </c>
      <c r="C36" s="56">
        <f>'8b. KB 2014'!C16</f>
        <v>2628249.88</v>
      </c>
      <c r="D36" s="225">
        <f>'8b. KB 2014'!D16</f>
        <v>2628249.88</v>
      </c>
    </row>
    <row r="37" spans="1:13" s="57" customFormat="1" ht="14.25" x14ac:dyDescent="0.2">
      <c r="A37" s="400" t="s">
        <v>41</v>
      </c>
      <c r="B37" s="401">
        <f>'8a. EIB - Evropské programy'!B113</f>
        <v>27760000</v>
      </c>
      <c r="C37" s="401">
        <f>'8a. EIB - Evropské programy'!C113</f>
        <v>292342897.38999999</v>
      </c>
      <c r="D37" s="402">
        <f>'8a. EIB - Evropské programy'!D113</f>
        <v>269980768.16999996</v>
      </c>
    </row>
    <row r="38" spans="1:13" s="57" customFormat="1" ht="15" thickBot="1" x14ac:dyDescent="0.25">
      <c r="A38" s="400" t="s">
        <v>197</v>
      </c>
      <c r="B38" s="401">
        <f>'d) dotace'!B88</f>
        <v>0</v>
      </c>
      <c r="C38" s="401">
        <f>'d) dotace'!C88</f>
        <v>555353513.75999999</v>
      </c>
      <c r="D38" s="402">
        <f>'d) dotace'!D88</f>
        <v>362215604.26000005</v>
      </c>
    </row>
    <row r="39" spans="1:13" s="58" customFormat="1" ht="17.25" thickTop="1" thickBot="1" x14ac:dyDescent="0.3">
      <c r="A39" s="48" t="s">
        <v>37</v>
      </c>
      <c r="B39" s="49">
        <f>SUM(B35:B38)</f>
        <v>229139000</v>
      </c>
      <c r="C39" s="49">
        <f t="shared" ref="C39:D39" si="2">SUM(C35:C38)</f>
        <v>1320483867.71</v>
      </c>
      <c r="D39" s="50">
        <f t="shared" si="2"/>
        <v>1037349331.74</v>
      </c>
    </row>
    <row r="40" spans="1:13" s="53" customFormat="1" ht="16.5" thickTop="1" x14ac:dyDescent="0.25">
      <c r="A40" s="59"/>
      <c r="B40" s="60"/>
      <c r="C40" s="60"/>
      <c r="D40" s="60"/>
    </row>
    <row r="41" spans="1:13" s="53" customFormat="1" x14ac:dyDescent="0.2"/>
    <row r="42" spans="1:13" s="53" customFormat="1" x14ac:dyDescent="0.2"/>
    <row r="43" spans="1:13" s="61" customFormat="1" x14ac:dyDescent="0.2"/>
    <row r="44" spans="1:13" s="61" customFormat="1" x14ac:dyDescent="0.2">
      <c r="A44" s="226" t="s">
        <v>42</v>
      </c>
      <c r="B44" s="227"/>
      <c r="C44" s="227"/>
      <c r="D44" s="227"/>
      <c r="E44" s="227"/>
      <c r="F44" s="226" t="s">
        <v>43</v>
      </c>
      <c r="G44" s="227"/>
      <c r="H44" s="227"/>
      <c r="I44" s="227"/>
      <c r="J44" s="227"/>
      <c r="K44" s="227"/>
      <c r="L44" s="175"/>
      <c r="M44" s="175"/>
    </row>
    <row r="45" spans="1:13" s="61" customFormat="1" x14ac:dyDescent="0.2">
      <c r="A45" s="175"/>
      <c r="B45" s="175"/>
      <c r="C45" s="175"/>
      <c r="D45" s="175"/>
      <c r="E45" s="175"/>
      <c r="F45" s="175"/>
      <c r="G45" s="175"/>
      <c r="H45" s="175"/>
      <c r="I45" s="175"/>
      <c r="J45" s="175"/>
      <c r="K45" s="175"/>
      <c r="L45" s="175"/>
      <c r="M45" s="175"/>
    </row>
    <row r="46" spans="1:13" s="61" customFormat="1" x14ac:dyDescent="0.2">
      <c r="A46" s="175"/>
      <c r="B46" s="175"/>
      <c r="C46" s="175"/>
      <c r="D46" s="175"/>
      <c r="E46" s="175"/>
      <c r="F46" s="175"/>
      <c r="G46" s="175"/>
      <c r="H46" s="175"/>
      <c r="I46" s="175"/>
      <c r="J46" s="175"/>
      <c r="K46" s="175"/>
      <c r="L46" s="175"/>
      <c r="M46" s="175"/>
    </row>
    <row r="47" spans="1:13" s="61" customFormat="1" x14ac:dyDescent="0.2"/>
    <row r="48" spans="1:13" s="61" customFormat="1" x14ac:dyDescent="0.2"/>
    <row r="49" s="61" customFormat="1" x14ac:dyDescent="0.2"/>
    <row r="50" s="61" customFormat="1" x14ac:dyDescent="0.2"/>
    <row r="51" s="61" customFormat="1" x14ac:dyDescent="0.2"/>
    <row r="52" s="61" customFormat="1" x14ac:dyDescent="0.2"/>
    <row r="53" s="61" customFormat="1" x14ac:dyDescent="0.2"/>
    <row r="54" s="61" customFormat="1" x14ac:dyDescent="0.2"/>
    <row r="55" s="61" customFormat="1" x14ac:dyDescent="0.2"/>
    <row r="56" s="61" customFormat="1" x14ac:dyDescent="0.2"/>
    <row r="57" s="61" customFormat="1" x14ac:dyDescent="0.2"/>
    <row r="58" s="61" customFormat="1" x14ac:dyDescent="0.2"/>
    <row r="59" s="61" customFormat="1" x14ac:dyDescent="0.2"/>
    <row r="60" s="61" customFormat="1" x14ac:dyDescent="0.2"/>
    <row r="61" s="61" customFormat="1" x14ac:dyDescent="0.2"/>
    <row r="62" s="61" customFormat="1" x14ac:dyDescent="0.2"/>
  </sheetData>
  <pageMargins left="0.78740157480314965" right="0.78740157480314965" top="0.98425196850393704" bottom="0.98425196850393704" header="0.51181102362204722" footer="0.51181102362204722"/>
  <pageSetup paperSize="9" scale="94" firstPageNumber="192" orientation="portrait" useFirstPageNumber="1" r:id="rId1"/>
  <headerFooter alignWithMargins="0">
    <oddFooter>&amp;L&amp;"Arial,Kurzíva"Zastupitelstvo Olomouckého kraje 26.6.2015
4. - Rozpočet Olomouckého kraje 2014 - závěrečný účet 
Příloha č. 8: Přehled financování investičních akcí v roce 2014&amp;R&amp;"Arial,Kurzíva"Strana &amp;P (celkem 484)</oddFooter>
  </headerFooter>
  <ignoredErrors>
    <ignoredError sqref="B23:D2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67"/>
  <sheetViews>
    <sheetView showGridLines="0" view="pageBreakPreview" zoomScaleNormal="100" zoomScaleSheetLayoutView="100" workbookViewId="0">
      <selection activeCell="A96" sqref="A96"/>
    </sheetView>
  </sheetViews>
  <sheetFormatPr defaultRowHeight="12.75" x14ac:dyDescent="0.2"/>
  <cols>
    <col min="1" max="1" width="59.5703125" style="16" customWidth="1"/>
    <col min="2" max="2" width="17.28515625" style="190" customWidth="1"/>
    <col min="3" max="3" width="17.42578125" style="18" customWidth="1"/>
    <col min="4" max="4" width="16.85546875" style="170" customWidth="1"/>
    <col min="5" max="5" width="7.7109375" style="18" customWidth="1"/>
    <col min="6" max="6" width="14.85546875" style="15" customWidth="1"/>
    <col min="7" max="7" width="9.140625" style="15"/>
    <col min="8" max="8" width="12.28515625" style="15" customWidth="1"/>
    <col min="9" max="9" width="15.42578125" style="15" bestFit="1" customWidth="1"/>
    <col min="10" max="11" width="17.28515625" style="15" customWidth="1"/>
    <col min="12" max="16384" width="9.140625" style="15"/>
  </cols>
  <sheetData>
    <row r="1" spans="1:11" ht="18" x14ac:dyDescent="0.25">
      <c r="A1" s="10" t="s">
        <v>212</v>
      </c>
    </row>
    <row r="2" spans="1:11" ht="15" x14ac:dyDescent="0.25">
      <c r="A2" s="11" t="s">
        <v>23</v>
      </c>
    </row>
    <row r="3" spans="1:11" ht="7.5" customHeight="1" x14ac:dyDescent="0.25">
      <c r="A3" s="17"/>
    </row>
    <row r="4" spans="1:11" ht="18.75" customHeight="1" x14ac:dyDescent="0.25">
      <c r="A4" s="10" t="s">
        <v>24</v>
      </c>
    </row>
    <row r="5" spans="1:11" ht="15.75" thickBot="1" x14ac:dyDescent="0.3">
      <c r="A5" s="11" t="s">
        <v>25</v>
      </c>
      <c r="E5" s="18" t="s">
        <v>18</v>
      </c>
    </row>
    <row r="6" spans="1:11" s="19" customFormat="1" ht="16.5" thickTop="1" thickBot="1" x14ac:dyDescent="0.3">
      <c r="A6" s="228" t="s">
        <v>5</v>
      </c>
      <c r="B6" s="191" t="s">
        <v>0</v>
      </c>
      <c r="C6" s="192" t="s">
        <v>1</v>
      </c>
      <c r="D6" s="193" t="s">
        <v>4</v>
      </c>
      <c r="E6" s="177" t="s">
        <v>6</v>
      </c>
    </row>
    <row r="7" spans="1:11" ht="15.75" thickTop="1" x14ac:dyDescent="0.25">
      <c r="A7" s="63" t="s">
        <v>7</v>
      </c>
      <c r="B7" s="334">
        <f>SUM(B8:B36)</f>
        <v>0</v>
      </c>
      <c r="C7" s="334">
        <f>SUM(C8:C36)</f>
        <v>137307666.86999997</v>
      </c>
      <c r="D7" s="334">
        <f>SUM(D8:D36)</f>
        <v>126518260.59</v>
      </c>
      <c r="E7" s="181">
        <f t="shared" ref="E7:E36" si="0">D7/C7*100</f>
        <v>92.142167640052349</v>
      </c>
      <c r="F7" s="15" t="s">
        <v>22</v>
      </c>
    </row>
    <row r="8" spans="1:11" ht="12.75" customHeight="1" x14ac:dyDescent="0.2">
      <c r="A8" s="423" t="s">
        <v>76</v>
      </c>
      <c r="B8" s="321">
        <v>0</v>
      </c>
      <c r="C8" s="321">
        <v>836869</v>
      </c>
      <c r="D8" s="321">
        <v>836846.33</v>
      </c>
      <c r="E8" s="322">
        <f t="shared" si="0"/>
        <v>99.997291093349133</v>
      </c>
      <c r="F8" s="244">
        <v>100537</v>
      </c>
    </row>
    <row r="9" spans="1:11" x14ac:dyDescent="0.2">
      <c r="A9" s="424" t="s">
        <v>167</v>
      </c>
      <c r="B9" s="317">
        <v>0</v>
      </c>
      <c r="C9" s="317">
        <v>5232056.8499999996</v>
      </c>
      <c r="D9" s="317">
        <v>5232056.72</v>
      </c>
      <c r="E9" s="320">
        <f t="shared" si="0"/>
        <v>99.999997515317517</v>
      </c>
      <c r="F9" s="330">
        <v>100134</v>
      </c>
    </row>
    <row r="10" spans="1:11" x14ac:dyDescent="0.2">
      <c r="A10" s="424" t="s">
        <v>90</v>
      </c>
      <c r="B10" s="317">
        <v>0</v>
      </c>
      <c r="C10" s="317">
        <v>7590932.2800000003</v>
      </c>
      <c r="D10" s="317">
        <v>6612916.4900000002</v>
      </c>
      <c r="E10" s="320">
        <f t="shared" si="0"/>
        <v>87.115999011388894</v>
      </c>
      <c r="F10" s="330">
        <v>100463</v>
      </c>
    </row>
    <row r="11" spans="1:11" x14ac:dyDescent="0.2">
      <c r="A11" s="424" t="s">
        <v>91</v>
      </c>
      <c r="B11" s="317">
        <v>0</v>
      </c>
      <c r="C11" s="317">
        <v>4016754</v>
      </c>
      <c r="D11" s="317">
        <v>3989678.25</v>
      </c>
      <c r="E11" s="320">
        <f t="shared" si="0"/>
        <v>99.325929593895964</v>
      </c>
      <c r="F11" s="330">
        <v>100465</v>
      </c>
    </row>
    <row r="12" spans="1:11" x14ac:dyDescent="0.2">
      <c r="A12" s="424" t="s">
        <v>92</v>
      </c>
      <c r="B12" s="317">
        <v>0</v>
      </c>
      <c r="C12" s="317">
        <v>22000</v>
      </c>
      <c r="D12" s="317">
        <v>21296</v>
      </c>
      <c r="E12" s="320">
        <f t="shared" si="0"/>
        <v>96.8</v>
      </c>
      <c r="F12" s="330">
        <v>100469</v>
      </c>
    </row>
    <row r="13" spans="1:11" x14ac:dyDescent="0.2">
      <c r="A13" s="424" t="s">
        <v>86</v>
      </c>
      <c r="B13" s="317">
        <v>0</v>
      </c>
      <c r="C13" s="317">
        <v>4618786.1500000004</v>
      </c>
      <c r="D13" s="317">
        <v>3901878.67</v>
      </c>
      <c r="E13" s="320">
        <f t="shared" si="0"/>
        <v>84.478443973856628</v>
      </c>
      <c r="F13" s="330">
        <v>100510</v>
      </c>
    </row>
    <row r="14" spans="1:11" x14ac:dyDescent="0.2">
      <c r="A14" s="424" t="s">
        <v>93</v>
      </c>
      <c r="B14" s="317">
        <v>0</v>
      </c>
      <c r="C14" s="317">
        <v>6502045.5999999996</v>
      </c>
      <c r="D14" s="317">
        <v>6490739.7400000002</v>
      </c>
      <c r="E14" s="320">
        <f t="shared" si="0"/>
        <v>99.826118414180314</v>
      </c>
      <c r="F14" s="330">
        <v>100511</v>
      </c>
      <c r="H14" s="246" t="s">
        <v>62</v>
      </c>
      <c r="I14" s="277">
        <f>SUM(B8)</f>
        <v>0</v>
      </c>
      <c r="J14" s="277">
        <f>SUM(C8)</f>
        <v>836869</v>
      </c>
      <c r="K14" s="277">
        <f>SUM(D8)</f>
        <v>836846.33</v>
      </c>
    </row>
    <row r="15" spans="1:11" ht="24" x14ac:dyDescent="0.2">
      <c r="A15" s="425" t="s">
        <v>94</v>
      </c>
      <c r="B15" s="317">
        <v>0</v>
      </c>
      <c r="C15" s="317">
        <v>15197014.4</v>
      </c>
      <c r="D15" s="317">
        <v>15197011.970000001</v>
      </c>
      <c r="E15" s="320">
        <f t="shared" si="0"/>
        <v>99.99998401001713</v>
      </c>
      <c r="F15" s="330">
        <v>100512</v>
      </c>
      <c r="H15" s="331" t="s">
        <v>169</v>
      </c>
      <c r="I15" s="332">
        <f>SUM(B9:B30)</f>
        <v>0</v>
      </c>
      <c r="J15" s="332">
        <f>SUM(C9:C30)</f>
        <v>103249636.71000001</v>
      </c>
      <c r="K15" s="332">
        <f>SUM(D9:D30)</f>
        <v>96298717.290000007</v>
      </c>
    </row>
    <row r="16" spans="1:11" x14ac:dyDescent="0.2">
      <c r="A16" s="425" t="s">
        <v>95</v>
      </c>
      <c r="B16" s="317">
        <v>0</v>
      </c>
      <c r="C16" s="317">
        <v>2689840.01</v>
      </c>
      <c r="D16" s="317">
        <v>2689067.75</v>
      </c>
      <c r="E16" s="320">
        <f t="shared" si="0"/>
        <v>99.971289742247535</v>
      </c>
      <c r="F16" s="330">
        <v>100513</v>
      </c>
      <c r="H16" s="337" t="s">
        <v>110</v>
      </c>
      <c r="I16" s="338">
        <f>SUM(B31:B36)</f>
        <v>0</v>
      </c>
      <c r="J16" s="338">
        <f t="shared" ref="J16:K16" si="1">SUM(C31:C36)</f>
        <v>33221161.160000004</v>
      </c>
      <c r="K16" s="338">
        <f t="shared" si="1"/>
        <v>29382696.970000003</v>
      </c>
    </row>
    <row r="17" spans="1:11" ht="24" x14ac:dyDescent="0.2">
      <c r="A17" s="425" t="s">
        <v>96</v>
      </c>
      <c r="B17" s="317">
        <v>0</v>
      </c>
      <c r="C17" s="317">
        <v>842613.34</v>
      </c>
      <c r="D17" s="317">
        <v>821978.24</v>
      </c>
      <c r="E17" s="320">
        <f t="shared" si="0"/>
        <v>97.551059421869596</v>
      </c>
      <c r="F17" s="330">
        <v>100545</v>
      </c>
      <c r="H17" s="252" t="s">
        <v>82</v>
      </c>
      <c r="I17" s="278">
        <f>SUM(B40)</f>
        <v>0</v>
      </c>
      <c r="J17" s="278">
        <f t="shared" ref="J17:K17" si="2">SUM(C40)</f>
        <v>6889275</v>
      </c>
      <c r="K17" s="278">
        <f t="shared" si="2"/>
        <v>6889275</v>
      </c>
    </row>
    <row r="18" spans="1:11" ht="24" x14ac:dyDescent="0.25">
      <c r="A18" s="425" t="s">
        <v>97</v>
      </c>
      <c r="B18" s="317">
        <v>0</v>
      </c>
      <c r="C18" s="317">
        <v>12640867.08</v>
      </c>
      <c r="D18" s="317">
        <v>9753539.9299999997</v>
      </c>
      <c r="E18" s="320">
        <f t="shared" si="0"/>
        <v>77.158788778277369</v>
      </c>
      <c r="F18" s="330">
        <v>100546</v>
      </c>
      <c r="H18" s="19"/>
      <c r="I18" s="276">
        <f>I14+I15+I16+I17</f>
        <v>0</v>
      </c>
      <c r="J18" s="276">
        <f t="shared" ref="J18:K18" si="3">J14+J15+J16+J17</f>
        <v>144196941.87</v>
      </c>
      <c r="K18" s="276">
        <f t="shared" si="3"/>
        <v>133407535.59</v>
      </c>
    </row>
    <row r="19" spans="1:11" ht="24" x14ac:dyDescent="0.2">
      <c r="A19" s="425" t="s">
        <v>87</v>
      </c>
      <c r="B19" s="317">
        <v>0</v>
      </c>
      <c r="C19" s="317">
        <v>4677887.0599999996</v>
      </c>
      <c r="D19" s="317">
        <v>3184252.4</v>
      </c>
      <c r="E19" s="320">
        <f t="shared" si="0"/>
        <v>68.07031377965761</v>
      </c>
      <c r="F19" s="330">
        <v>100547</v>
      </c>
    </row>
    <row r="20" spans="1:11" ht="24" x14ac:dyDescent="0.2">
      <c r="A20" s="425" t="s">
        <v>98</v>
      </c>
      <c r="B20" s="317">
        <v>0</v>
      </c>
      <c r="C20" s="317">
        <v>2988072.15</v>
      </c>
      <c r="D20" s="317">
        <v>2960631.46</v>
      </c>
      <c r="E20" s="320">
        <f t="shared" si="0"/>
        <v>99.081659055655663</v>
      </c>
      <c r="F20" s="330">
        <v>100548</v>
      </c>
    </row>
    <row r="21" spans="1:11" ht="24" x14ac:dyDescent="0.2">
      <c r="A21" s="425" t="s">
        <v>88</v>
      </c>
      <c r="B21" s="317">
        <v>0</v>
      </c>
      <c r="C21" s="317">
        <v>255000</v>
      </c>
      <c r="D21" s="317">
        <v>247875</v>
      </c>
      <c r="E21" s="320">
        <f t="shared" si="0"/>
        <v>97.205882352941174</v>
      </c>
      <c r="F21" s="330">
        <v>100549</v>
      </c>
    </row>
    <row r="22" spans="1:11" ht="24" x14ac:dyDescent="0.2">
      <c r="A22" s="425" t="s">
        <v>99</v>
      </c>
      <c r="B22" s="317">
        <v>0</v>
      </c>
      <c r="C22" s="317">
        <v>5795763</v>
      </c>
      <c r="D22" s="317">
        <v>5765250.5999999996</v>
      </c>
      <c r="E22" s="320">
        <f t="shared" si="0"/>
        <v>99.47353954949503</v>
      </c>
      <c r="F22" s="330">
        <v>100553</v>
      </c>
    </row>
    <row r="23" spans="1:11" ht="24" x14ac:dyDescent="0.2">
      <c r="A23" s="425" t="s">
        <v>100</v>
      </c>
      <c r="B23" s="317">
        <v>0</v>
      </c>
      <c r="C23" s="317">
        <v>3272949</v>
      </c>
      <c r="D23" s="317">
        <v>3248290.9</v>
      </c>
      <c r="E23" s="320">
        <f t="shared" si="0"/>
        <v>99.246609097789175</v>
      </c>
      <c r="F23" s="330">
        <v>100554</v>
      </c>
    </row>
    <row r="24" spans="1:11" x14ac:dyDescent="0.2">
      <c r="A24" s="425" t="s">
        <v>101</v>
      </c>
      <c r="B24" s="317">
        <v>0</v>
      </c>
      <c r="C24" s="317">
        <v>3759662.98</v>
      </c>
      <c r="D24" s="317">
        <v>3419052.6</v>
      </c>
      <c r="E24" s="320">
        <f t="shared" si="0"/>
        <v>90.940401259051157</v>
      </c>
      <c r="F24" s="330">
        <v>100559</v>
      </c>
    </row>
    <row r="25" spans="1:11" ht="24" x14ac:dyDescent="0.2">
      <c r="A25" s="425" t="s">
        <v>102</v>
      </c>
      <c r="B25" s="317">
        <v>0</v>
      </c>
      <c r="C25" s="317">
        <v>1773840.5</v>
      </c>
      <c r="D25" s="317">
        <v>1428275.48</v>
      </c>
      <c r="E25" s="320">
        <f t="shared" si="0"/>
        <v>80.518822295465682</v>
      </c>
      <c r="F25" s="330">
        <v>100561</v>
      </c>
    </row>
    <row r="26" spans="1:11" ht="24" x14ac:dyDescent="0.2">
      <c r="A26" s="425" t="s">
        <v>103</v>
      </c>
      <c r="B26" s="317">
        <v>0</v>
      </c>
      <c r="C26" s="317">
        <v>8267496</v>
      </c>
      <c r="D26" s="317">
        <v>8267394.8399999999</v>
      </c>
      <c r="E26" s="320">
        <f t="shared" si="0"/>
        <v>99.998776413075973</v>
      </c>
      <c r="F26" s="330">
        <v>100562</v>
      </c>
    </row>
    <row r="27" spans="1:11" ht="24" x14ac:dyDescent="0.2">
      <c r="A27" s="425" t="s">
        <v>104</v>
      </c>
      <c r="B27" s="317">
        <v>0</v>
      </c>
      <c r="C27" s="317">
        <v>1414411</v>
      </c>
      <c r="D27" s="317">
        <v>1414291.53</v>
      </c>
      <c r="E27" s="320">
        <f t="shared" si="0"/>
        <v>99.991553374514197</v>
      </c>
      <c r="F27" s="330">
        <v>100563</v>
      </c>
    </row>
    <row r="28" spans="1:11" ht="24" x14ac:dyDescent="0.2">
      <c r="A28" s="425" t="s">
        <v>105</v>
      </c>
      <c r="B28" s="317">
        <v>0</v>
      </c>
      <c r="C28" s="317">
        <v>3438645.31</v>
      </c>
      <c r="D28" s="317">
        <v>3416490.25</v>
      </c>
      <c r="E28" s="320">
        <f t="shared" si="0"/>
        <v>99.355703830936832</v>
      </c>
      <c r="F28" s="330">
        <v>100694</v>
      </c>
    </row>
    <row r="29" spans="1:11" ht="24" x14ac:dyDescent="0.2">
      <c r="A29" s="425" t="s">
        <v>170</v>
      </c>
      <c r="B29" s="317">
        <v>0</v>
      </c>
      <c r="C29" s="317">
        <v>8180400</v>
      </c>
      <c r="D29" s="317">
        <v>8176248.4699999997</v>
      </c>
      <c r="E29" s="320">
        <f t="shared" si="0"/>
        <v>99.949250281159834</v>
      </c>
      <c r="F29" s="330">
        <v>100821</v>
      </c>
    </row>
    <row r="30" spans="1:11" x14ac:dyDescent="0.2">
      <c r="A30" s="425" t="s">
        <v>171</v>
      </c>
      <c r="B30" s="317">
        <v>0</v>
      </c>
      <c r="C30" s="317">
        <v>72600</v>
      </c>
      <c r="D30" s="317">
        <v>60500</v>
      </c>
      <c r="E30" s="320">
        <f t="shared" si="0"/>
        <v>83.333333333333343</v>
      </c>
      <c r="F30" s="330">
        <v>100822</v>
      </c>
    </row>
    <row r="31" spans="1:11" x14ac:dyDescent="0.2">
      <c r="A31" s="425" t="s">
        <v>89</v>
      </c>
      <c r="B31" s="317">
        <v>0</v>
      </c>
      <c r="C31" s="317">
        <v>5899548.1900000004</v>
      </c>
      <c r="D31" s="317">
        <v>5547352</v>
      </c>
      <c r="E31" s="320">
        <f t="shared" si="0"/>
        <v>94.030115889264394</v>
      </c>
      <c r="F31" s="336">
        <v>100573</v>
      </c>
    </row>
    <row r="32" spans="1:11" ht="24" x14ac:dyDescent="0.2">
      <c r="A32" s="425" t="s">
        <v>172</v>
      </c>
      <c r="B32" s="317">
        <v>0</v>
      </c>
      <c r="C32" s="317">
        <v>2828244.05</v>
      </c>
      <c r="D32" s="317">
        <v>2828244.05</v>
      </c>
      <c r="E32" s="320">
        <f t="shared" si="0"/>
        <v>100</v>
      </c>
      <c r="F32" s="336">
        <v>100575</v>
      </c>
    </row>
    <row r="33" spans="1:6" x14ac:dyDescent="0.2">
      <c r="A33" s="425" t="s">
        <v>106</v>
      </c>
      <c r="B33" s="317">
        <v>0</v>
      </c>
      <c r="C33" s="317">
        <v>8460259</v>
      </c>
      <c r="D33" s="317">
        <v>6886454.9000000004</v>
      </c>
      <c r="E33" s="320">
        <f t="shared" si="0"/>
        <v>81.397684160733135</v>
      </c>
      <c r="F33" s="336">
        <v>100792</v>
      </c>
    </row>
    <row r="34" spans="1:6" x14ac:dyDescent="0.2">
      <c r="A34" s="425" t="s">
        <v>107</v>
      </c>
      <c r="B34" s="317">
        <v>0</v>
      </c>
      <c r="C34" s="317">
        <v>11641377.380000001</v>
      </c>
      <c r="D34" s="317">
        <v>11641377.220000001</v>
      </c>
      <c r="E34" s="320">
        <f t="shared" si="0"/>
        <v>99.999998625592184</v>
      </c>
      <c r="F34" s="336">
        <v>100793</v>
      </c>
    </row>
    <row r="35" spans="1:6" x14ac:dyDescent="0.2">
      <c r="A35" s="425" t="s">
        <v>202</v>
      </c>
      <c r="B35" s="317">
        <v>0</v>
      </c>
      <c r="C35" s="317">
        <v>2543100</v>
      </c>
      <c r="D35" s="317">
        <v>2479057</v>
      </c>
      <c r="E35" s="320">
        <f t="shared" si="0"/>
        <v>97.481695568400767</v>
      </c>
      <c r="F35" s="336">
        <v>100794</v>
      </c>
    </row>
    <row r="36" spans="1:6" ht="13.5" thickBot="1" x14ac:dyDescent="0.25">
      <c r="A36" s="426" t="s">
        <v>201</v>
      </c>
      <c r="B36" s="318">
        <v>0</v>
      </c>
      <c r="C36" s="318">
        <v>1848632.54</v>
      </c>
      <c r="D36" s="318">
        <v>211.8</v>
      </c>
      <c r="E36" s="324">
        <f t="shared" si="0"/>
        <v>1.1457117378232453E-2</v>
      </c>
      <c r="F36" s="336">
        <v>100795</v>
      </c>
    </row>
    <row r="37" spans="1:6" s="19" customFormat="1" ht="15.75" thickTop="1" x14ac:dyDescent="0.25">
      <c r="A37" s="29"/>
      <c r="B37" s="195"/>
      <c r="C37" s="179"/>
      <c r="D37" s="196"/>
      <c r="E37" s="179"/>
      <c r="F37" s="30"/>
    </row>
    <row r="38" spans="1:6" s="19" customFormat="1" ht="15.75" thickBot="1" x14ac:dyDescent="0.3">
      <c r="A38" s="11" t="s">
        <v>26</v>
      </c>
      <c r="B38" s="190"/>
      <c r="C38" s="18"/>
      <c r="D38" s="170"/>
      <c r="E38" s="18" t="s">
        <v>18</v>
      </c>
      <c r="F38" s="30"/>
    </row>
    <row r="39" spans="1:6" s="19" customFormat="1" ht="16.5" thickTop="1" thickBot="1" x14ac:dyDescent="0.3">
      <c r="A39" s="228" t="s">
        <v>5</v>
      </c>
      <c r="B39" s="191" t="s">
        <v>0</v>
      </c>
      <c r="C39" s="192" t="s">
        <v>1</v>
      </c>
      <c r="D39" s="193" t="s">
        <v>4</v>
      </c>
      <c r="E39" s="177" t="s">
        <v>6</v>
      </c>
      <c r="F39" s="30"/>
    </row>
    <row r="40" spans="1:6" s="19" customFormat="1" ht="15.75" thickTop="1" x14ac:dyDescent="0.25">
      <c r="A40" s="230" t="s">
        <v>7</v>
      </c>
      <c r="B40" s="194">
        <f>SUM(B41:B41)</f>
        <v>0</v>
      </c>
      <c r="C40" s="194">
        <f>SUM(C41:C41)</f>
        <v>6889275</v>
      </c>
      <c r="D40" s="194">
        <f>SUM(D41:D41)</f>
        <v>6889275</v>
      </c>
      <c r="E40" s="178">
        <f>D40/C40*100</f>
        <v>100</v>
      </c>
      <c r="F40" s="30"/>
    </row>
    <row r="41" spans="1:6" s="19" customFormat="1" ht="24.75" thickBot="1" x14ac:dyDescent="0.3">
      <c r="A41" s="427" t="s">
        <v>168</v>
      </c>
      <c r="B41" s="317">
        <v>0</v>
      </c>
      <c r="C41" s="317">
        <v>6889275</v>
      </c>
      <c r="D41" s="317">
        <v>6889275</v>
      </c>
      <c r="E41" s="320">
        <f>D41/C41*100</f>
        <v>100</v>
      </c>
      <c r="F41" s="373">
        <v>1102</v>
      </c>
    </row>
    <row r="42" spans="1:6" s="19" customFormat="1" ht="15.75" thickTop="1" x14ac:dyDescent="0.25">
      <c r="A42" s="29"/>
      <c r="B42" s="195"/>
      <c r="C42" s="179"/>
      <c r="D42" s="196"/>
      <c r="E42" s="179"/>
      <c r="F42" s="30"/>
    </row>
    <row r="43" spans="1:6" s="31" customFormat="1" ht="18.75" thickBot="1" x14ac:dyDescent="0.3">
      <c r="A43" s="32" t="s">
        <v>27</v>
      </c>
      <c r="B43" s="279">
        <f>B7+B40</f>
        <v>0</v>
      </c>
      <c r="C43" s="279">
        <f t="shared" ref="C43:D43" si="4">C7+C40</f>
        <v>144196941.86999997</v>
      </c>
      <c r="D43" s="279">
        <f t="shared" si="4"/>
        <v>133407535.59</v>
      </c>
      <c r="E43" s="176">
        <f>D43/C43*100</f>
        <v>92.517590081953955</v>
      </c>
      <c r="F43" s="10"/>
    </row>
    <row r="44" spans="1:6" s="31" customFormat="1" ht="18.75" thickTop="1" x14ac:dyDescent="0.25">
      <c r="A44" s="33"/>
      <c r="B44" s="280"/>
      <c r="C44" s="280"/>
      <c r="D44" s="280"/>
      <c r="E44" s="180"/>
      <c r="F44" s="10"/>
    </row>
    <row r="45" spans="1:6" ht="18.75" customHeight="1" x14ac:dyDescent="0.25">
      <c r="A45" s="10" t="s">
        <v>29</v>
      </c>
    </row>
    <row r="46" spans="1:6" ht="15.75" thickBot="1" x14ac:dyDescent="0.3">
      <c r="A46" s="11" t="s">
        <v>166</v>
      </c>
      <c r="E46" s="18" t="s">
        <v>18</v>
      </c>
    </row>
    <row r="47" spans="1:6" s="19" customFormat="1" ht="16.5" thickTop="1" thickBot="1" x14ac:dyDescent="0.3">
      <c r="A47" s="228" t="s">
        <v>5</v>
      </c>
      <c r="B47" s="191" t="s">
        <v>0</v>
      </c>
      <c r="C47" s="192" t="s">
        <v>1</v>
      </c>
      <c r="D47" s="193" t="s">
        <v>4</v>
      </c>
      <c r="E47" s="177" t="s">
        <v>6</v>
      </c>
    </row>
    <row r="48" spans="1:6" s="19" customFormat="1" ht="15.75" thickTop="1" x14ac:dyDescent="0.25">
      <c r="A48" s="63" t="s">
        <v>9</v>
      </c>
      <c r="B48" s="334">
        <f>SUM(B49:B56)</f>
        <v>27760000</v>
      </c>
      <c r="C48" s="334">
        <f>SUM(C49:C56)</f>
        <v>77297582.920000002</v>
      </c>
      <c r="D48" s="334">
        <f>SUM(D49:D56)</f>
        <v>75836064.979999989</v>
      </c>
      <c r="E48" s="181">
        <f t="shared" ref="E48:E56" si="5">D48/C48*100</f>
        <v>98.109232029269748</v>
      </c>
      <c r="F48" s="21" t="s">
        <v>21</v>
      </c>
    </row>
    <row r="49" spans="1:11" x14ac:dyDescent="0.2">
      <c r="A49" s="428" t="s">
        <v>77</v>
      </c>
      <c r="B49" s="321">
        <v>27760000</v>
      </c>
      <c r="C49" s="321">
        <v>46352316.219999999</v>
      </c>
      <c r="D49" s="321">
        <v>46203156.229999997</v>
      </c>
      <c r="E49" s="322">
        <f t="shared" si="5"/>
        <v>99.678203804763385</v>
      </c>
      <c r="F49" s="247">
        <v>100540</v>
      </c>
      <c r="G49" s="246" t="s">
        <v>62</v>
      </c>
      <c r="H49" s="246" t="s">
        <v>62</v>
      </c>
      <c r="I49" s="277">
        <f>SUM(B49:B49)</f>
        <v>27760000</v>
      </c>
      <c r="J49" s="277">
        <f>SUM(C49:C49)</f>
        <v>46352316.219999999</v>
      </c>
      <c r="K49" s="277">
        <f>SUM(D49:D49)</f>
        <v>46203156.229999997</v>
      </c>
    </row>
    <row r="50" spans="1:11" ht="24" x14ac:dyDescent="0.2">
      <c r="A50" s="423" t="s">
        <v>114</v>
      </c>
      <c r="B50" s="319">
        <v>0</v>
      </c>
      <c r="C50" s="319">
        <v>4946133</v>
      </c>
      <c r="D50" s="319">
        <v>4934605.5</v>
      </c>
      <c r="E50" s="320">
        <f t="shared" si="5"/>
        <v>99.766939142154087</v>
      </c>
      <c r="F50" s="333">
        <v>100470</v>
      </c>
      <c r="G50" s="246"/>
      <c r="H50" s="331" t="s">
        <v>169</v>
      </c>
      <c r="I50" s="332">
        <f>SUM(B50:B53)</f>
        <v>0</v>
      </c>
      <c r="J50" s="332">
        <f>SUM(C50:C53)</f>
        <v>12690221.99</v>
      </c>
      <c r="K50" s="332">
        <f>SUM(D50:D53)</f>
        <v>12667561.73</v>
      </c>
    </row>
    <row r="51" spans="1:11" x14ac:dyDescent="0.2">
      <c r="A51" s="423" t="s">
        <v>115</v>
      </c>
      <c r="B51" s="319">
        <v>0</v>
      </c>
      <c r="C51" s="319">
        <v>3610922.3</v>
      </c>
      <c r="D51" s="319">
        <v>3606996.73</v>
      </c>
      <c r="E51" s="320">
        <f t="shared" si="5"/>
        <v>99.891286223467063</v>
      </c>
      <c r="F51" s="333">
        <v>100494</v>
      </c>
      <c r="G51" s="246"/>
      <c r="H51" s="337" t="s">
        <v>110</v>
      </c>
      <c r="I51" s="338">
        <f>SUM(B54:B56)</f>
        <v>0</v>
      </c>
      <c r="J51" s="338">
        <f>SUM(C54:C56)</f>
        <v>18255044.710000001</v>
      </c>
      <c r="K51" s="338">
        <f>SUM(D54:D56)</f>
        <v>16965347.02</v>
      </c>
    </row>
    <row r="52" spans="1:11" ht="13.5" customHeight="1" x14ac:dyDescent="0.25">
      <c r="A52" s="423" t="s">
        <v>116</v>
      </c>
      <c r="B52" s="319">
        <v>0</v>
      </c>
      <c r="C52" s="319">
        <v>1093440</v>
      </c>
      <c r="D52" s="319">
        <v>1086945.28</v>
      </c>
      <c r="E52" s="320">
        <f t="shared" si="5"/>
        <v>99.40602868012877</v>
      </c>
      <c r="F52" s="333">
        <v>100497</v>
      </c>
      <c r="G52" s="246"/>
      <c r="I52" s="276">
        <f>I49+I50+I51</f>
        <v>27760000</v>
      </c>
      <c r="J52" s="276">
        <f>J49+J50+J51</f>
        <v>77297582.920000002</v>
      </c>
      <c r="K52" s="276">
        <f>K49+K50+K51</f>
        <v>75836064.979999989</v>
      </c>
    </row>
    <row r="53" spans="1:11" ht="24" x14ac:dyDescent="0.2">
      <c r="A53" s="423" t="s">
        <v>117</v>
      </c>
      <c r="B53" s="319">
        <v>0</v>
      </c>
      <c r="C53" s="319">
        <v>3039726.69</v>
      </c>
      <c r="D53" s="319">
        <v>3039014.22</v>
      </c>
      <c r="E53" s="320">
        <f t="shared" si="5"/>
        <v>99.976561379602202</v>
      </c>
      <c r="F53" s="333">
        <v>100550</v>
      </c>
      <c r="G53" s="246"/>
    </row>
    <row r="54" spans="1:11" x14ac:dyDescent="0.2">
      <c r="A54" s="423" t="s">
        <v>147</v>
      </c>
      <c r="B54" s="319">
        <v>0</v>
      </c>
      <c r="C54" s="319">
        <v>10406944.51</v>
      </c>
      <c r="D54" s="319">
        <v>10406944.51</v>
      </c>
      <c r="E54" s="320">
        <f t="shared" si="5"/>
        <v>100</v>
      </c>
      <c r="F54" s="336">
        <v>100317</v>
      </c>
      <c r="G54" s="246"/>
    </row>
    <row r="55" spans="1:11" ht="24" x14ac:dyDescent="0.2">
      <c r="A55" s="423" t="s">
        <v>203</v>
      </c>
      <c r="B55" s="319">
        <v>0</v>
      </c>
      <c r="C55" s="319">
        <v>2023339</v>
      </c>
      <c r="D55" s="319">
        <v>1079999.55</v>
      </c>
      <c r="E55" s="320">
        <f t="shared" si="5"/>
        <v>53.377093507316374</v>
      </c>
      <c r="F55" s="336">
        <v>100326</v>
      </c>
      <c r="G55" s="246"/>
    </row>
    <row r="56" spans="1:11" ht="13.5" thickBot="1" x14ac:dyDescent="0.25">
      <c r="A56" s="423" t="s">
        <v>158</v>
      </c>
      <c r="B56" s="319">
        <v>0</v>
      </c>
      <c r="C56" s="319">
        <v>5824761.2000000002</v>
      </c>
      <c r="D56" s="319">
        <v>5478402.96</v>
      </c>
      <c r="E56" s="320">
        <f t="shared" si="5"/>
        <v>94.05369202088491</v>
      </c>
      <c r="F56" s="336">
        <v>100441</v>
      </c>
      <c r="G56" s="246"/>
    </row>
    <row r="57" spans="1:11" s="19" customFormat="1" ht="15.75" thickTop="1" x14ac:dyDescent="0.25">
      <c r="A57" s="29"/>
      <c r="B57" s="195"/>
      <c r="C57" s="179"/>
      <c r="D57" s="196"/>
      <c r="E57" s="179"/>
      <c r="F57" s="30"/>
    </row>
    <row r="58" spans="1:11" s="31" customFormat="1" ht="18.75" thickBot="1" x14ac:dyDescent="0.3">
      <c r="A58" s="32" t="s">
        <v>28</v>
      </c>
      <c r="B58" s="279">
        <f>B48</f>
        <v>27760000</v>
      </c>
      <c r="C58" s="279">
        <f>C48</f>
        <v>77297582.920000002</v>
      </c>
      <c r="D58" s="279">
        <f>D48</f>
        <v>75836064.979999989</v>
      </c>
      <c r="E58" s="176">
        <f>D58/C58*100</f>
        <v>98.109232029269748</v>
      </c>
      <c r="F58" s="10"/>
    </row>
    <row r="59" spans="1:11" s="19" customFormat="1" ht="15.75" thickTop="1" x14ac:dyDescent="0.25">
      <c r="A59" s="29"/>
      <c r="B59" s="195"/>
      <c r="C59" s="179"/>
      <c r="D59" s="196"/>
      <c r="E59" s="179"/>
      <c r="F59" s="30"/>
    </row>
    <row r="60" spans="1:11" ht="15" customHeight="1" x14ac:dyDescent="0.25">
      <c r="A60" s="10" t="s">
        <v>47</v>
      </c>
    </row>
    <row r="61" spans="1:11" ht="15.75" thickBot="1" x14ac:dyDescent="0.3">
      <c r="A61" s="11" t="s">
        <v>166</v>
      </c>
      <c r="E61" s="18" t="s">
        <v>18</v>
      </c>
    </row>
    <row r="62" spans="1:11" s="19" customFormat="1" ht="16.5" thickTop="1" thickBot="1" x14ac:dyDescent="0.3">
      <c r="A62" s="228" t="s">
        <v>5</v>
      </c>
      <c r="B62" s="191" t="s">
        <v>0</v>
      </c>
      <c r="C62" s="192" t="s">
        <v>1</v>
      </c>
      <c r="D62" s="193" t="s">
        <v>4</v>
      </c>
      <c r="E62" s="177" t="s">
        <v>6</v>
      </c>
    </row>
    <row r="63" spans="1:11" ht="15.75" thickTop="1" x14ac:dyDescent="0.25">
      <c r="A63" s="229" t="s">
        <v>11</v>
      </c>
      <c r="B63" s="20">
        <f>SUM(B64:B67)</f>
        <v>0</v>
      </c>
      <c r="C63" s="20">
        <f>SUM(C64:C67)</f>
        <v>52724163.100000009</v>
      </c>
      <c r="D63" s="20">
        <f>SUM(D64:D67)</f>
        <v>43491104.019999996</v>
      </c>
      <c r="E63" s="181">
        <f>D63/C63*100</f>
        <v>82.487993100074434</v>
      </c>
      <c r="F63" s="15" t="s">
        <v>19</v>
      </c>
    </row>
    <row r="64" spans="1:11" x14ac:dyDescent="0.2">
      <c r="A64" s="429" t="s">
        <v>79</v>
      </c>
      <c r="B64" s="321">
        <v>0</v>
      </c>
      <c r="C64" s="321">
        <v>875345</v>
      </c>
      <c r="D64" s="321">
        <v>449214.8</v>
      </c>
      <c r="E64" s="322">
        <f>D64/C64*100</f>
        <v>51.318600094819757</v>
      </c>
      <c r="F64" s="335">
        <v>100027</v>
      </c>
      <c r="H64" s="246"/>
      <c r="I64" s="277"/>
      <c r="J64" s="277"/>
      <c r="K64" s="277"/>
    </row>
    <row r="65" spans="1:11" x14ac:dyDescent="0.2">
      <c r="A65" s="429" t="s">
        <v>78</v>
      </c>
      <c r="B65" s="321">
        <v>0</v>
      </c>
      <c r="C65" s="321">
        <v>38456923.380000003</v>
      </c>
      <c r="D65" s="321">
        <v>38456923.380000003</v>
      </c>
      <c r="E65" s="322">
        <f>D65/C65*100</f>
        <v>100</v>
      </c>
      <c r="F65" s="335">
        <v>100532</v>
      </c>
      <c r="H65" s="331" t="s">
        <v>145</v>
      </c>
      <c r="I65" s="332">
        <f>SUM(B64:B67)</f>
        <v>0</v>
      </c>
      <c r="J65" s="332">
        <f>SUM(C64:C67)</f>
        <v>52724163.100000009</v>
      </c>
      <c r="K65" s="332">
        <f>SUM(D64:D67)</f>
        <v>43491104.019999996</v>
      </c>
    </row>
    <row r="66" spans="1:11" x14ac:dyDescent="0.2">
      <c r="A66" s="429" t="s">
        <v>156</v>
      </c>
      <c r="B66" s="321">
        <v>0</v>
      </c>
      <c r="C66" s="321">
        <v>2676250.9500000002</v>
      </c>
      <c r="D66" s="321">
        <v>2409388.29</v>
      </c>
      <c r="E66" s="322">
        <f>D66/C66*100</f>
        <v>90.028488920293512</v>
      </c>
      <c r="F66" s="335">
        <v>100534</v>
      </c>
      <c r="H66" s="367"/>
      <c r="I66" s="368"/>
      <c r="J66" s="368"/>
      <c r="K66" s="368"/>
    </row>
    <row r="67" spans="1:11" ht="15.75" thickBot="1" x14ac:dyDescent="0.3">
      <c r="A67" s="430" t="s">
        <v>152</v>
      </c>
      <c r="B67" s="325">
        <v>0</v>
      </c>
      <c r="C67" s="325">
        <v>10715643.77</v>
      </c>
      <c r="D67" s="325">
        <v>2175577.5499999998</v>
      </c>
      <c r="E67" s="326">
        <f>D67/C67*100</f>
        <v>20.302817046707403</v>
      </c>
      <c r="F67" s="335">
        <v>100535</v>
      </c>
      <c r="I67" s="276">
        <f>SUM(I64:I66)</f>
        <v>0</v>
      </c>
      <c r="J67" s="276">
        <f t="shared" ref="J67:K67" si="6">SUM(J64:J66)</f>
        <v>52724163.100000009</v>
      </c>
      <c r="K67" s="276">
        <f t="shared" si="6"/>
        <v>43491104.019999996</v>
      </c>
    </row>
    <row r="68" spans="1:11" s="31" customFormat="1" ht="13.5" customHeight="1" thickTop="1" x14ac:dyDescent="0.25">
      <c r="A68" s="33"/>
      <c r="B68" s="280"/>
      <c r="C68" s="280"/>
      <c r="D68" s="280"/>
      <c r="E68" s="180"/>
      <c r="F68" s="10"/>
    </row>
    <row r="69" spans="1:11" s="31" customFormat="1" ht="18.75" thickBot="1" x14ac:dyDescent="0.3">
      <c r="A69" s="32" t="s">
        <v>32</v>
      </c>
      <c r="B69" s="279">
        <f>B63</f>
        <v>0</v>
      </c>
      <c r="C69" s="279">
        <f>C63</f>
        <v>52724163.100000009</v>
      </c>
      <c r="D69" s="279">
        <f>D63</f>
        <v>43491104.019999996</v>
      </c>
      <c r="E69" s="176">
        <f>D69/C69*100</f>
        <v>82.487993100074434</v>
      </c>
      <c r="F69" s="10"/>
    </row>
    <row r="70" spans="1:11" s="31" customFormat="1" ht="18" customHeight="1" thickTop="1" x14ac:dyDescent="0.25">
      <c r="A70" s="33"/>
      <c r="B70" s="280"/>
      <c r="C70" s="280"/>
      <c r="D70" s="280"/>
      <c r="E70" s="180"/>
      <c r="F70" s="10"/>
    </row>
    <row r="71" spans="1:11" s="31" customFormat="1" ht="18" customHeight="1" x14ac:dyDescent="0.25">
      <c r="A71" s="33"/>
      <c r="B71" s="280"/>
      <c r="C71" s="280"/>
      <c r="D71" s="280"/>
      <c r="E71" s="180"/>
      <c r="F71" s="10"/>
    </row>
    <row r="72" spans="1:11" ht="18.75" customHeight="1" x14ac:dyDescent="0.25">
      <c r="A72" s="10" t="s">
        <v>173</v>
      </c>
    </row>
    <row r="73" spans="1:11" ht="15.75" thickBot="1" x14ac:dyDescent="0.3">
      <c r="A73" s="11" t="s">
        <v>25</v>
      </c>
      <c r="E73" s="18" t="s">
        <v>18</v>
      </c>
    </row>
    <row r="74" spans="1:11" s="19" customFormat="1" ht="16.5" thickTop="1" thickBot="1" x14ac:dyDescent="0.3">
      <c r="A74" s="228" t="s">
        <v>5</v>
      </c>
      <c r="B74" s="191" t="s">
        <v>0</v>
      </c>
      <c r="C74" s="192" t="s">
        <v>1</v>
      </c>
      <c r="D74" s="193" t="s">
        <v>4</v>
      </c>
      <c r="E74" s="177" t="s">
        <v>6</v>
      </c>
    </row>
    <row r="75" spans="1:11" s="19" customFormat="1" ht="15.75" thickTop="1" x14ac:dyDescent="0.25">
      <c r="A75" s="63" t="s">
        <v>10</v>
      </c>
      <c r="B75" s="334">
        <f>SUM(B76:B78)</f>
        <v>0</v>
      </c>
      <c r="C75" s="334">
        <f>SUM(C76:C78)</f>
        <v>6672679.5</v>
      </c>
      <c r="D75" s="334">
        <f>SUM(D76:D78)</f>
        <v>6075905.0800000001</v>
      </c>
      <c r="E75" s="181">
        <f>D75/C75*100</f>
        <v>91.056450111233417</v>
      </c>
      <c r="F75" s="21" t="s">
        <v>20</v>
      </c>
    </row>
    <row r="76" spans="1:11" ht="24" x14ac:dyDescent="0.2">
      <c r="A76" s="423" t="s">
        <v>123</v>
      </c>
      <c r="B76" s="319">
        <v>0</v>
      </c>
      <c r="C76" s="319">
        <v>1906746.9</v>
      </c>
      <c r="D76" s="319">
        <v>1606725.9</v>
      </c>
      <c r="E76" s="320">
        <f>D76/C76*100</f>
        <v>84.265294990121646</v>
      </c>
      <c r="F76" s="335">
        <v>100664</v>
      </c>
      <c r="H76" s="331" t="s">
        <v>169</v>
      </c>
      <c r="I76" s="332">
        <f>SUM(B76:B77)</f>
        <v>0</v>
      </c>
      <c r="J76" s="332">
        <f>SUM(C76:C77)</f>
        <v>6618879.5</v>
      </c>
      <c r="K76" s="332">
        <f>SUM(D76:D77)</f>
        <v>6073723.4800000004</v>
      </c>
    </row>
    <row r="77" spans="1:11" ht="24" x14ac:dyDescent="0.2">
      <c r="A77" s="423" t="s">
        <v>125</v>
      </c>
      <c r="B77" s="319">
        <v>0</v>
      </c>
      <c r="C77" s="319">
        <v>4712132.5999999996</v>
      </c>
      <c r="D77" s="319">
        <v>4466997.58</v>
      </c>
      <c r="E77" s="320">
        <f>D77/C77*100</f>
        <v>94.797790282896543</v>
      </c>
      <c r="F77" s="335">
        <v>100666</v>
      </c>
      <c r="H77" s="352" t="s">
        <v>110</v>
      </c>
      <c r="I77" s="353">
        <f>SUM(B78)</f>
        <v>0</v>
      </c>
      <c r="J77" s="353">
        <f>SUM(C78)</f>
        <v>53800</v>
      </c>
      <c r="K77" s="353">
        <f>SUM(D78)</f>
        <v>2181.6</v>
      </c>
    </row>
    <row r="78" spans="1:11" ht="28.5" customHeight="1" thickBot="1" x14ac:dyDescent="0.25">
      <c r="A78" s="431" t="s">
        <v>126</v>
      </c>
      <c r="B78" s="323">
        <v>0</v>
      </c>
      <c r="C78" s="323">
        <v>53800</v>
      </c>
      <c r="D78" s="323">
        <v>2181.6</v>
      </c>
      <c r="E78" s="324">
        <f>D78/C78*100</f>
        <v>4.0550185873605944</v>
      </c>
      <c r="F78" s="339">
        <v>100670</v>
      </c>
      <c r="H78" s="252" t="s">
        <v>82</v>
      </c>
      <c r="I78" s="374">
        <f>SUM(B83)</f>
        <v>0</v>
      </c>
      <c r="J78" s="374">
        <f t="shared" ref="J78:K78" si="7">SUM(C83)</f>
        <v>6500000</v>
      </c>
      <c r="K78" s="374">
        <f t="shared" si="7"/>
        <v>6500000</v>
      </c>
    </row>
    <row r="79" spans="1:11" s="19" customFormat="1" ht="15.75" thickTop="1" x14ac:dyDescent="0.25">
      <c r="A79" s="29"/>
      <c r="B79" s="195"/>
      <c r="C79" s="179"/>
      <c r="D79" s="196"/>
      <c r="E79" s="179"/>
      <c r="F79" s="30"/>
      <c r="H79" s="15"/>
      <c r="I79" s="276">
        <f>SUM(I76:I78)</f>
        <v>0</v>
      </c>
      <c r="J79" s="276">
        <f t="shared" ref="J79:K79" si="8">SUM(J76:J78)</f>
        <v>13172679.5</v>
      </c>
      <c r="K79" s="276">
        <f t="shared" si="8"/>
        <v>12575905.08</v>
      </c>
    </row>
    <row r="80" spans="1:11" s="19" customFormat="1" ht="15.75" thickBot="1" x14ac:dyDescent="0.3">
      <c r="A80" s="11" t="s">
        <v>26</v>
      </c>
      <c r="B80" s="190"/>
      <c r="C80" s="18"/>
      <c r="D80" s="170"/>
      <c r="E80" s="18" t="s">
        <v>18</v>
      </c>
      <c r="F80" s="30"/>
    </row>
    <row r="81" spans="1:11" s="19" customFormat="1" ht="16.5" thickTop="1" thickBot="1" x14ac:dyDescent="0.3">
      <c r="A81" s="228" t="s">
        <v>5</v>
      </c>
      <c r="B81" s="191" t="s">
        <v>0</v>
      </c>
      <c r="C81" s="192" t="s">
        <v>1</v>
      </c>
      <c r="D81" s="193" t="s">
        <v>4</v>
      </c>
      <c r="E81" s="177" t="s">
        <v>6</v>
      </c>
      <c r="F81" s="30"/>
    </row>
    <row r="82" spans="1:11" s="19" customFormat="1" ht="15.75" thickTop="1" x14ac:dyDescent="0.25">
      <c r="A82" s="230" t="s">
        <v>10</v>
      </c>
      <c r="B82" s="194">
        <f>SUM(B83:B83)</f>
        <v>0</v>
      </c>
      <c r="C82" s="194">
        <f>SUM(C83:C83)</f>
        <v>6500000</v>
      </c>
      <c r="D82" s="194">
        <f>SUM(D83:D83)</f>
        <v>6500000</v>
      </c>
      <c r="E82" s="178">
        <f>D82/C82*100</f>
        <v>100</v>
      </c>
      <c r="F82" s="30"/>
    </row>
    <row r="83" spans="1:11" s="19" customFormat="1" ht="24.75" thickBot="1" x14ac:dyDescent="0.3">
      <c r="A83" s="432" t="s">
        <v>365</v>
      </c>
      <c r="B83" s="318">
        <v>0</v>
      </c>
      <c r="C83" s="318">
        <v>6500000</v>
      </c>
      <c r="D83" s="318">
        <v>6500000</v>
      </c>
      <c r="E83" s="324">
        <f>D83/C83*100</f>
        <v>100</v>
      </c>
      <c r="F83" s="373">
        <v>1700</v>
      </c>
    </row>
    <row r="84" spans="1:11" s="19" customFormat="1" ht="15.75" thickTop="1" x14ac:dyDescent="0.25">
      <c r="A84" s="340"/>
      <c r="B84" s="341"/>
      <c r="C84" s="342"/>
      <c r="D84" s="343"/>
      <c r="E84" s="342"/>
      <c r="F84" s="30"/>
    </row>
    <row r="85" spans="1:11" s="19" customFormat="1" ht="18.75" thickBot="1" x14ac:dyDescent="0.3">
      <c r="A85" s="32" t="s">
        <v>31</v>
      </c>
      <c r="B85" s="279">
        <f>B75+B82</f>
        <v>0</v>
      </c>
      <c r="C85" s="279">
        <f>C75+C82</f>
        <v>13172679.5</v>
      </c>
      <c r="D85" s="279">
        <f>D75+D82</f>
        <v>12575905.08</v>
      </c>
      <c r="E85" s="176">
        <f>D85/C85*100</f>
        <v>95.46960495015459</v>
      </c>
      <c r="F85" s="30"/>
    </row>
    <row r="86" spans="1:11" s="19" customFormat="1" ht="18" customHeight="1" thickTop="1" x14ac:dyDescent="0.25">
      <c r="A86" s="33"/>
      <c r="B86" s="280"/>
      <c r="C86" s="280"/>
      <c r="D86" s="280"/>
      <c r="E86" s="180"/>
      <c r="F86" s="30"/>
    </row>
    <row r="87" spans="1:11" s="19" customFormat="1" ht="18" x14ac:dyDescent="0.25">
      <c r="A87" s="33"/>
      <c r="B87" s="280"/>
      <c r="C87" s="280"/>
      <c r="D87" s="280"/>
      <c r="E87" s="180"/>
      <c r="F87" s="30"/>
    </row>
    <row r="88" spans="1:11" s="19" customFormat="1" ht="18" x14ac:dyDescent="0.25">
      <c r="A88" s="10" t="s">
        <v>206</v>
      </c>
      <c r="B88" s="190"/>
      <c r="C88" s="18"/>
      <c r="D88" s="170"/>
      <c r="E88" s="18"/>
      <c r="F88" s="30"/>
    </row>
    <row r="89" spans="1:11" s="19" customFormat="1" ht="15.75" thickBot="1" x14ac:dyDescent="0.3">
      <c r="A89" s="11" t="s">
        <v>166</v>
      </c>
      <c r="B89" s="190"/>
      <c r="C89" s="18"/>
      <c r="D89" s="170"/>
      <c r="E89" s="18" t="s">
        <v>18</v>
      </c>
      <c r="F89" s="30"/>
    </row>
    <row r="90" spans="1:11" s="19" customFormat="1" ht="16.5" thickTop="1" thickBot="1" x14ac:dyDescent="0.3">
      <c r="A90" s="228" t="s">
        <v>5</v>
      </c>
      <c r="B90" s="191" t="s">
        <v>0</v>
      </c>
      <c r="C90" s="192" t="s">
        <v>1</v>
      </c>
      <c r="D90" s="193" t="s">
        <v>4</v>
      </c>
      <c r="E90" s="177" t="s">
        <v>6</v>
      </c>
      <c r="F90" s="30"/>
    </row>
    <row r="91" spans="1:11" s="19" customFormat="1" ht="15.75" thickTop="1" x14ac:dyDescent="0.25">
      <c r="A91" s="230" t="s">
        <v>207</v>
      </c>
      <c r="B91" s="194">
        <f>SUM(B92:B92)</f>
        <v>0</v>
      </c>
      <c r="C91" s="194">
        <f>SUM(C92:C92)</f>
        <v>990584</v>
      </c>
      <c r="D91" s="194">
        <f>SUM(D92:D92)</f>
        <v>709241.5</v>
      </c>
      <c r="E91" s="178">
        <f>D91/C91*100</f>
        <v>71.598319779039429</v>
      </c>
      <c r="F91" s="281" t="s">
        <v>205</v>
      </c>
    </row>
    <row r="92" spans="1:11" s="19" customFormat="1" ht="15.75" thickBot="1" x14ac:dyDescent="0.3">
      <c r="A92" s="430" t="s">
        <v>209</v>
      </c>
      <c r="B92" s="325">
        <v>0</v>
      </c>
      <c r="C92" s="325">
        <v>990584</v>
      </c>
      <c r="D92" s="325">
        <v>709241.5</v>
      </c>
      <c r="E92" s="326">
        <f>D92/C92*100</f>
        <v>71.598319779039429</v>
      </c>
      <c r="F92" s="354">
        <v>100581</v>
      </c>
      <c r="H92" s="352" t="s">
        <v>110</v>
      </c>
      <c r="I92" s="353">
        <f>SUM(B92)</f>
        <v>0</v>
      </c>
      <c r="J92" s="353">
        <f t="shared" ref="J92:K92" si="9">SUM(C92)</f>
        <v>990584</v>
      </c>
      <c r="K92" s="353">
        <f t="shared" si="9"/>
        <v>709241.5</v>
      </c>
    </row>
    <row r="93" spans="1:11" s="19" customFormat="1" ht="15.75" thickTop="1" x14ac:dyDescent="0.25">
      <c r="A93" s="22"/>
      <c r="B93" s="199"/>
      <c r="C93" s="199"/>
      <c r="D93" s="199"/>
      <c r="E93" s="182"/>
      <c r="F93" s="30"/>
    </row>
    <row r="94" spans="1:11" s="19" customFormat="1" ht="18.75" thickBot="1" x14ac:dyDescent="0.3">
      <c r="A94" s="32" t="s">
        <v>208</v>
      </c>
      <c r="B94" s="197">
        <f>B91</f>
        <v>0</v>
      </c>
      <c r="C94" s="197">
        <f>C91</f>
        <v>990584</v>
      </c>
      <c r="D94" s="197">
        <f>D91</f>
        <v>709241.5</v>
      </c>
      <c r="E94" s="176">
        <f>D94/C94*100</f>
        <v>71.598319779039429</v>
      </c>
      <c r="F94" s="30"/>
    </row>
    <row r="95" spans="1:11" s="19" customFormat="1" ht="18" customHeight="1" thickTop="1" x14ac:dyDescent="0.25">
      <c r="A95" s="33"/>
      <c r="B95" s="198"/>
      <c r="C95" s="198"/>
      <c r="D95" s="198"/>
      <c r="E95" s="180"/>
      <c r="F95" s="30"/>
    </row>
    <row r="96" spans="1:11" s="19" customFormat="1" ht="18" customHeight="1" x14ac:dyDescent="0.25">
      <c r="A96" s="33"/>
      <c r="B96" s="280"/>
      <c r="C96" s="280"/>
      <c r="D96" s="280"/>
      <c r="E96" s="180"/>
      <c r="F96" s="30"/>
    </row>
    <row r="97" spans="1:11" ht="18.75" customHeight="1" x14ac:dyDescent="0.25">
      <c r="A97" s="10" t="s">
        <v>204</v>
      </c>
    </row>
    <row r="98" spans="1:11" ht="15.75" thickBot="1" x14ac:dyDescent="0.3">
      <c r="A98" s="11" t="s">
        <v>166</v>
      </c>
      <c r="E98" s="18" t="s">
        <v>18</v>
      </c>
    </row>
    <row r="99" spans="1:11" s="19" customFormat="1" ht="16.5" thickTop="1" thickBot="1" x14ac:dyDescent="0.3">
      <c r="A99" s="228" t="s">
        <v>5</v>
      </c>
      <c r="B99" s="191" t="s">
        <v>0</v>
      </c>
      <c r="C99" s="192" t="s">
        <v>1</v>
      </c>
      <c r="D99" s="193" t="s">
        <v>4</v>
      </c>
      <c r="E99" s="177" t="s">
        <v>6</v>
      </c>
    </row>
    <row r="100" spans="1:11" s="19" customFormat="1" ht="15.75" thickTop="1" x14ac:dyDescent="0.25">
      <c r="A100" s="230" t="s">
        <v>80</v>
      </c>
      <c r="B100" s="194">
        <f>SUM(B101:B101)</f>
        <v>0</v>
      </c>
      <c r="C100" s="194">
        <f>SUM(C101:C101)</f>
        <v>3960946</v>
      </c>
      <c r="D100" s="194">
        <f>SUM(D101:D101)</f>
        <v>3960917</v>
      </c>
      <c r="E100" s="178">
        <f>D100/C100*100</f>
        <v>99.999267851669785</v>
      </c>
      <c r="F100" s="281" t="s">
        <v>146</v>
      </c>
      <c r="H100" s="246"/>
      <c r="I100" s="277"/>
      <c r="J100" s="277"/>
      <c r="K100" s="277"/>
    </row>
    <row r="101" spans="1:11" ht="13.5" thickBot="1" x14ac:dyDescent="0.25">
      <c r="A101" s="430" t="s">
        <v>81</v>
      </c>
      <c r="B101" s="325">
        <v>0</v>
      </c>
      <c r="C101" s="325">
        <v>3960946</v>
      </c>
      <c r="D101" s="325">
        <v>3960917</v>
      </c>
      <c r="E101" s="326">
        <f>D101/C101*100</f>
        <v>99.999267851669785</v>
      </c>
      <c r="F101" s="354">
        <v>100558</v>
      </c>
      <c r="H101" s="337" t="s">
        <v>110</v>
      </c>
      <c r="I101" s="338">
        <f>SUM(B101)</f>
        <v>0</v>
      </c>
      <c r="J101" s="338">
        <f t="shared" ref="J101:K101" si="10">SUM(C101)</f>
        <v>3960946</v>
      </c>
      <c r="K101" s="338">
        <f t="shared" si="10"/>
        <v>3960917</v>
      </c>
    </row>
    <row r="102" spans="1:11" ht="15.75" thickTop="1" x14ac:dyDescent="0.25">
      <c r="A102" s="22"/>
      <c r="B102" s="199"/>
      <c r="C102" s="199"/>
      <c r="D102" s="199"/>
      <c r="E102" s="182"/>
      <c r="F102" s="24"/>
      <c r="H102" s="252"/>
      <c r="I102" s="276">
        <f>I101</f>
        <v>0</v>
      </c>
      <c r="J102" s="276">
        <f t="shared" ref="J102:K102" si="11">J101</f>
        <v>3960946</v>
      </c>
      <c r="K102" s="276">
        <f t="shared" si="11"/>
        <v>3960917</v>
      </c>
    </row>
    <row r="103" spans="1:11" s="31" customFormat="1" ht="18.75" thickBot="1" x14ac:dyDescent="0.3">
      <c r="A103" s="32" t="s">
        <v>84</v>
      </c>
      <c r="B103" s="197">
        <f>B100</f>
        <v>0</v>
      </c>
      <c r="C103" s="197">
        <f>C100</f>
        <v>3960946</v>
      </c>
      <c r="D103" s="197">
        <f>D100</f>
        <v>3960917</v>
      </c>
      <c r="E103" s="176">
        <f>D103/C103*100</f>
        <v>99.999267851669785</v>
      </c>
      <c r="F103" s="10"/>
      <c r="H103" s="15"/>
    </row>
    <row r="104" spans="1:11" s="31" customFormat="1" ht="18.75" thickTop="1" x14ac:dyDescent="0.25">
      <c r="A104" s="33"/>
      <c r="B104" s="198"/>
      <c r="C104" s="198"/>
      <c r="D104" s="198"/>
      <c r="E104" s="180"/>
      <c r="F104" s="10"/>
      <c r="H104" s="15"/>
    </row>
    <row r="105" spans="1:11" ht="15" x14ac:dyDescent="0.25">
      <c r="A105" s="22"/>
      <c r="B105" s="199"/>
      <c r="C105" s="199"/>
      <c r="D105" s="199"/>
      <c r="E105" s="182"/>
      <c r="F105" s="24"/>
    </row>
    <row r="106" spans="1:11" ht="14.25" x14ac:dyDescent="0.2">
      <c r="A106" s="12" t="s">
        <v>12</v>
      </c>
      <c r="B106" s="200"/>
      <c r="C106" s="200"/>
      <c r="D106" s="200"/>
      <c r="E106" s="183"/>
    </row>
    <row r="107" spans="1:11" ht="16.5" customHeight="1" x14ac:dyDescent="0.2">
      <c r="A107" s="13" t="s">
        <v>16</v>
      </c>
      <c r="B107" s="201">
        <f>SUM(B43)</f>
        <v>0</v>
      </c>
      <c r="C107" s="201">
        <f>SUM(C43)</f>
        <v>144196941.86999997</v>
      </c>
      <c r="D107" s="201">
        <f>SUM(D43)</f>
        <v>133407535.59</v>
      </c>
      <c r="E107" s="184">
        <f t="shared" ref="E107:E113" si="12">D107/C107*100</f>
        <v>92.517590081953955</v>
      </c>
    </row>
    <row r="108" spans="1:11" ht="14.25" x14ac:dyDescent="0.2">
      <c r="A108" s="13" t="s">
        <v>15</v>
      </c>
      <c r="B108" s="201">
        <f>SUM(B58)</f>
        <v>27760000</v>
      </c>
      <c r="C108" s="201">
        <f>SUM(C58)</f>
        <v>77297582.920000002</v>
      </c>
      <c r="D108" s="201">
        <f>SUM(D58)</f>
        <v>75836064.979999989</v>
      </c>
      <c r="E108" s="184">
        <f t="shared" si="12"/>
        <v>98.109232029269748</v>
      </c>
    </row>
    <row r="109" spans="1:11" ht="14.25" x14ac:dyDescent="0.2">
      <c r="A109" s="13" t="s">
        <v>13</v>
      </c>
      <c r="B109" s="201">
        <f>SUM(B69)</f>
        <v>0</v>
      </c>
      <c r="C109" s="201">
        <f>SUM(C69)</f>
        <v>52724163.100000009</v>
      </c>
      <c r="D109" s="201">
        <f>SUM(D69)</f>
        <v>43491104.019999996</v>
      </c>
      <c r="E109" s="184">
        <f t="shared" si="12"/>
        <v>82.487993100074434</v>
      </c>
    </row>
    <row r="110" spans="1:11" ht="14.25" x14ac:dyDescent="0.2">
      <c r="A110" s="13" t="s">
        <v>14</v>
      </c>
      <c r="B110" s="201">
        <f>SUM(B85)</f>
        <v>0</v>
      </c>
      <c r="C110" s="201">
        <f>SUM(C85)</f>
        <v>13172679.5</v>
      </c>
      <c r="D110" s="201">
        <f>SUM(D85)</f>
        <v>12575905.08</v>
      </c>
      <c r="E110" s="184">
        <f t="shared" si="12"/>
        <v>95.46960495015459</v>
      </c>
    </row>
    <row r="111" spans="1:11" ht="14.25" x14ac:dyDescent="0.2">
      <c r="A111" s="13" t="s">
        <v>210</v>
      </c>
      <c r="B111" s="201">
        <f>B94</f>
        <v>0</v>
      </c>
      <c r="C111" s="201">
        <f t="shared" ref="C111:D111" si="13">C94</f>
        <v>990584</v>
      </c>
      <c r="D111" s="201">
        <f t="shared" si="13"/>
        <v>709241.5</v>
      </c>
      <c r="E111" s="184">
        <f t="shared" si="12"/>
        <v>71.598319779039429</v>
      </c>
    </row>
    <row r="112" spans="1:11" ht="14.25" x14ac:dyDescent="0.2">
      <c r="A112" s="13" t="s">
        <v>83</v>
      </c>
      <c r="B112" s="201">
        <f>B103</f>
        <v>0</v>
      </c>
      <c r="C112" s="201">
        <f>C103</f>
        <v>3960946</v>
      </c>
      <c r="D112" s="201">
        <f>D103</f>
        <v>3960917</v>
      </c>
      <c r="E112" s="184">
        <f t="shared" si="12"/>
        <v>99.999267851669785</v>
      </c>
    </row>
    <row r="113" spans="1:11" ht="15" customHeight="1" thickBot="1" x14ac:dyDescent="0.25">
      <c r="A113" s="14" t="s">
        <v>3</v>
      </c>
      <c r="B113" s="202">
        <f>SUM(B107:B112)</f>
        <v>27760000</v>
      </c>
      <c r="C113" s="202">
        <f>SUM(C107:C112)</f>
        <v>292342897.38999999</v>
      </c>
      <c r="D113" s="202">
        <f>SUM(D107:D112)</f>
        <v>269980768.16999996</v>
      </c>
      <c r="E113" s="185">
        <f t="shared" si="12"/>
        <v>92.350719165867801</v>
      </c>
      <c r="H113" s="246" t="s">
        <v>62</v>
      </c>
      <c r="I113" s="364">
        <f>I14+I49</f>
        <v>27760000</v>
      </c>
      <c r="J113" s="364">
        <f t="shared" ref="J113:K113" si="14">J14+J49</f>
        <v>47189185.219999999</v>
      </c>
      <c r="K113" s="364">
        <f t="shared" si="14"/>
        <v>47040002.559999995</v>
      </c>
    </row>
    <row r="114" spans="1:11" ht="14.25" customHeight="1" thickTop="1" x14ac:dyDescent="0.2">
      <c r="B114" s="203"/>
      <c r="C114" s="204"/>
      <c r="D114" s="205"/>
      <c r="H114" s="331" t="s">
        <v>145</v>
      </c>
      <c r="I114" s="364">
        <f>I65</f>
        <v>0</v>
      </c>
      <c r="J114" s="364">
        <f t="shared" ref="J114:K114" si="15">J65</f>
        <v>52724163.100000009</v>
      </c>
      <c r="K114" s="364">
        <f t="shared" si="15"/>
        <v>43491104.019999996</v>
      </c>
    </row>
    <row r="115" spans="1:11" s="173" customFormat="1" x14ac:dyDescent="0.2">
      <c r="A115" s="172"/>
      <c r="B115" s="206"/>
      <c r="C115" s="207"/>
      <c r="D115" s="208"/>
      <c r="E115" s="186"/>
      <c r="H115" s="331" t="s">
        <v>169</v>
      </c>
      <c r="I115" s="364">
        <f>I15+I50+I76</f>
        <v>0</v>
      </c>
      <c r="J115" s="364">
        <f t="shared" ref="J115:K115" si="16">J15+J50+J76</f>
        <v>122558738.2</v>
      </c>
      <c r="K115" s="364">
        <f t="shared" si="16"/>
        <v>115040002.50000001</v>
      </c>
    </row>
    <row r="116" spans="1:11" hidden="1" x14ac:dyDescent="0.2">
      <c r="B116" s="171" t="e">
        <f>SUM(B117:B123)</f>
        <v>#REF!</v>
      </c>
      <c r="C116" s="171" t="e">
        <f>SUM(C117:C123)</f>
        <v>#REF!</v>
      </c>
      <c r="D116" s="171" t="e">
        <f>SUM(D117:D123)</f>
        <v>#REF!</v>
      </c>
      <c r="H116" s="337" t="s">
        <v>110</v>
      </c>
      <c r="I116" s="364"/>
      <c r="J116" s="364"/>
      <c r="K116" s="364"/>
    </row>
    <row r="117" spans="1:11" hidden="1" x14ac:dyDescent="0.2">
      <c r="B117" s="170" t="e">
        <f>SUM(B8:B27)+SUM(B49:B49)+#REF!+SUM(#REF!)+B76</f>
        <v>#REF!</v>
      </c>
      <c r="C117" s="170" t="e">
        <f>SUM(C8:C27)+SUM(C49:C49)+#REF!+SUM(#REF!)+C76</f>
        <v>#REF!</v>
      </c>
      <c r="D117" s="170" t="e">
        <f>SUM(D8:D27)+SUM(D49:D49)+#REF!+SUM(#REF!)+D76</f>
        <v>#REF!</v>
      </c>
      <c r="E117" s="187"/>
      <c r="I117" s="364"/>
      <c r="J117" s="364"/>
      <c r="K117" s="364"/>
    </row>
    <row r="118" spans="1:11" hidden="1" x14ac:dyDescent="0.2">
      <c r="B118" s="170" t="e">
        <f>#REF!</f>
        <v>#REF!</v>
      </c>
      <c r="C118" s="170" t="e">
        <f>#REF!</f>
        <v>#REF!</v>
      </c>
      <c r="D118" s="170" t="e">
        <f>#REF!</f>
        <v>#REF!</v>
      </c>
      <c r="I118" s="364"/>
      <c r="J118" s="364"/>
      <c r="K118" s="364"/>
    </row>
    <row r="119" spans="1:11" hidden="1" x14ac:dyDescent="0.2">
      <c r="B119" s="170" t="e">
        <f>#REF!</f>
        <v>#REF!</v>
      </c>
      <c r="C119" s="170" t="e">
        <f>#REF!</f>
        <v>#REF!</v>
      </c>
      <c r="D119" s="170" t="e">
        <f>#REF!</f>
        <v>#REF!</v>
      </c>
      <c r="I119" s="364"/>
      <c r="J119" s="364"/>
      <c r="K119" s="364"/>
    </row>
    <row r="120" spans="1:11" hidden="1" x14ac:dyDescent="0.2">
      <c r="B120" s="170" t="e">
        <f>#REF!</f>
        <v>#REF!</v>
      </c>
      <c r="C120" s="170" t="e">
        <f>#REF!</f>
        <v>#REF!</v>
      </c>
      <c r="D120" s="170" t="e">
        <f>#REF!</f>
        <v>#REF!</v>
      </c>
      <c r="I120" s="364"/>
      <c r="J120" s="364"/>
      <c r="K120" s="364"/>
    </row>
    <row r="121" spans="1:11" hidden="1" x14ac:dyDescent="0.2">
      <c r="B121" s="170" t="e">
        <f>#REF!</f>
        <v>#REF!</v>
      </c>
      <c r="C121" s="170" t="e">
        <f>#REF!</f>
        <v>#REF!</v>
      </c>
      <c r="D121" s="170" t="e">
        <f>#REF!</f>
        <v>#REF!</v>
      </c>
      <c r="I121" s="364"/>
      <c r="J121" s="364"/>
      <c r="K121" s="364"/>
    </row>
    <row r="122" spans="1:11" hidden="1" x14ac:dyDescent="0.2">
      <c r="B122" s="170" t="e">
        <f>SUM(#REF!)</f>
        <v>#REF!</v>
      </c>
      <c r="C122" s="170" t="e">
        <f>SUM(#REF!)</f>
        <v>#REF!</v>
      </c>
      <c r="D122" s="170" t="e">
        <f>SUM(#REF!)</f>
        <v>#REF!</v>
      </c>
      <c r="E122" s="188"/>
      <c r="I122" s="364"/>
      <c r="J122" s="364"/>
      <c r="K122" s="364"/>
    </row>
    <row r="123" spans="1:11" hidden="1" x14ac:dyDescent="0.2">
      <c r="B123" s="170" t="e">
        <f>#REF!+#REF!+B77+#REF!+#REF!+#REF!+#REF!+#REF!+#REF!+#REF!+#REF!+#REF!</f>
        <v>#REF!</v>
      </c>
      <c r="C123" s="170" t="e">
        <f>#REF!+#REF!+C77+#REF!+#REF!+#REF!+#REF!+#REF!+#REF!+#REF!+#REF!+#REF!</f>
        <v>#REF!</v>
      </c>
      <c r="D123" s="170" t="e">
        <f>#REF!+#REF!+D77+#REF!+#REF!+#REF!+#REF!+#REF!+#REF!+#REF!+#REF!+#REF!</f>
        <v>#REF!</v>
      </c>
      <c r="E123" s="189"/>
      <c r="I123" s="364"/>
      <c r="J123" s="364"/>
      <c r="K123" s="364"/>
    </row>
    <row r="124" spans="1:11" hidden="1" x14ac:dyDescent="0.2">
      <c r="I124" s="364"/>
      <c r="J124" s="364"/>
      <c r="K124" s="364"/>
    </row>
    <row r="125" spans="1:11" hidden="1" x14ac:dyDescent="0.2">
      <c r="A125" s="16">
        <v>2011</v>
      </c>
      <c r="I125" s="364"/>
      <c r="J125" s="364"/>
      <c r="K125" s="364"/>
    </row>
    <row r="126" spans="1:11" hidden="1" x14ac:dyDescent="0.2">
      <c r="I126" s="364"/>
      <c r="J126" s="364"/>
      <c r="K126" s="364"/>
    </row>
    <row r="127" spans="1:11" hidden="1" x14ac:dyDescent="0.2">
      <c r="I127" s="364"/>
      <c r="J127" s="364"/>
      <c r="K127" s="364"/>
    </row>
    <row r="128" spans="1:11" hidden="1" x14ac:dyDescent="0.2">
      <c r="I128" s="364"/>
      <c r="J128" s="364"/>
      <c r="K128" s="364"/>
    </row>
    <row r="129" spans="1:11" hidden="1" x14ac:dyDescent="0.2">
      <c r="I129" s="364"/>
      <c r="J129" s="364"/>
      <c r="K129" s="364"/>
    </row>
    <row r="130" spans="1:11" hidden="1" x14ac:dyDescent="0.2">
      <c r="I130" s="364"/>
      <c r="J130" s="364"/>
      <c r="K130" s="364"/>
    </row>
    <row r="131" spans="1:11" hidden="1" x14ac:dyDescent="0.2">
      <c r="I131" s="364"/>
      <c r="J131" s="364"/>
      <c r="K131" s="364"/>
    </row>
    <row r="132" spans="1:11" hidden="1" x14ac:dyDescent="0.2">
      <c r="I132" s="364"/>
      <c r="J132" s="364"/>
      <c r="K132" s="364"/>
    </row>
    <row r="133" spans="1:11" hidden="1" x14ac:dyDescent="0.2">
      <c r="I133" s="364"/>
      <c r="J133" s="364"/>
      <c r="K133" s="364"/>
    </row>
    <row r="134" spans="1:11" hidden="1" x14ac:dyDescent="0.2">
      <c r="I134" s="364"/>
      <c r="J134" s="364"/>
      <c r="K134" s="364"/>
    </row>
    <row r="135" spans="1:11" hidden="1" x14ac:dyDescent="0.2">
      <c r="A135" s="15"/>
      <c r="C135" s="15"/>
      <c r="D135" s="15"/>
      <c r="E135" s="15"/>
      <c r="I135" s="364"/>
      <c r="J135" s="364"/>
      <c r="K135" s="364"/>
    </row>
    <row r="136" spans="1:11" hidden="1" x14ac:dyDescent="0.2">
      <c r="A136" s="15"/>
      <c r="C136" s="15"/>
      <c r="D136" s="15"/>
      <c r="E136" s="15"/>
      <c r="I136" s="364"/>
      <c r="J136" s="364"/>
      <c r="K136" s="364"/>
    </row>
    <row r="137" spans="1:11" hidden="1" x14ac:dyDescent="0.2">
      <c r="A137" s="15"/>
      <c r="C137" s="15"/>
      <c r="D137" s="15"/>
      <c r="E137" s="15"/>
      <c r="I137" s="364"/>
      <c r="J137" s="364"/>
      <c r="K137" s="364"/>
    </row>
    <row r="138" spans="1:11" hidden="1" x14ac:dyDescent="0.2">
      <c r="A138" s="15"/>
      <c r="C138" s="15"/>
      <c r="D138" s="15"/>
      <c r="E138" s="15"/>
      <c r="I138" s="364"/>
      <c r="J138" s="364"/>
      <c r="K138" s="364"/>
    </row>
    <row r="139" spans="1:11" hidden="1" x14ac:dyDescent="0.2">
      <c r="A139" s="15"/>
      <c r="B139" s="209" t="s">
        <v>63</v>
      </c>
      <c r="C139" s="15"/>
      <c r="D139" s="15"/>
      <c r="E139" s="15"/>
      <c r="I139" s="364"/>
      <c r="J139" s="364"/>
      <c r="K139" s="364"/>
    </row>
    <row r="140" spans="1:11" hidden="1" x14ac:dyDescent="0.2">
      <c r="A140" s="15"/>
      <c r="B140" s="209" t="s">
        <v>64</v>
      </c>
      <c r="C140" s="15"/>
      <c r="D140" s="15"/>
      <c r="E140" s="15"/>
      <c r="I140" s="364"/>
      <c r="J140" s="364"/>
      <c r="K140" s="364"/>
    </row>
    <row r="141" spans="1:11" hidden="1" x14ac:dyDescent="0.2">
      <c r="A141" s="15"/>
      <c r="B141" s="210" t="s">
        <v>65</v>
      </c>
      <c r="C141" s="15"/>
      <c r="D141" s="15"/>
      <c r="E141" s="15"/>
      <c r="I141" s="364"/>
      <c r="J141" s="364"/>
      <c r="K141" s="364"/>
    </row>
    <row r="142" spans="1:11" hidden="1" x14ac:dyDescent="0.2">
      <c r="A142" s="15"/>
      <c r="B142" s="211" t="s">
        <v>66</v>
      </c>
      <c r="C142" s="15"/>
      <c r="D142" s="15"/>
      <c r="E142" s="15"/>
      <c r="I142" s="364"/>
      <c r="J142" s="364"/>
      <c r="K142" s="364"/>
    </row>
    <row r="143" spans="1:11" hidden="1" x14ac:dyDescent="0.2">
      <c r="A143" s="15"/>
      <c r="B143" s="209" t="s">
        <v>67</v>
      </c>
      <c r="C143" s="15"/>
      <c r="D143" s="15"/>
      <c r="E143" s="15"/>
      <c r="I143" s="364"/>
      <c r="J143" s="364"/>
      <c r="K143" s="364"/>
    </row>
    <row r="144" spans="1:11" hidden="1" x14ac:dyDescent="0.2">
      <c r="A144" s="15"/>
      <c r="C144" s="15"/>
      <c r="D144" s="15"/>
      <c r="E144" s="15"/>
      <c r="I144" s="364"/>
      <c r="J144" s="364"/>
      <c r="K144" s="364"/>
    </row>
    <row r="145" spans="1:11" hidden="1" x14ac:dyDescent="0.2">
      <c r="A145" s="15"/>
      <c r="B145" s="212" t="s">
        <v>68</v>
      </c>
      <c r="C145" s="15"/>
      <c r="D145" s="15"/>
      <c r="E145" s="15"/>
      <c r="I145" s="364"/>
      <c r="J145" s="364"/>
      <c r="K145" s="364"/>
    </row>
    <row r="146" spans="1:11" hidden="1" x14ac:dyDescent="0.2">
      <c r="A146" s="15"/>
      <c r="C146" s="15"/>
      <c r="D146" s="15"/>
      <c r="E146" s="15"/>
      <c r="I146" s="364"/>
      <c r="J146" s="364"/>
      <c r="K146" s="364"/>
    </row>
    <row r="147" spans="1:11" hidden="1" x14ac:dyDescent="0.2">
      <c r="A147" s="15"/>
      <c r="C147" s="15"/>
      <c r="D147" s="15"/>
      <c r="E147" s="15"/>
      <c r="I147" s="364"/>
      <c r="J147" s="364"/>
      <c r="K147" s="364"/>
    </row>
    <row r="148" spans="1:11" hidden="1" x14ac:dyDescent="0.2">
      <c r="A148" s="15"/>
      <c r="C148" s="15"/>
      <c r="D148" s="15"/>
      <c r="E148" s="15"/>
      <c r="I148" s="364"/>
      <c r="J148" s="364"/>
      <c r="K148" s="364"/>
    </row>
    <row r="149" spans="1:11" hidden="1" x14ac:dyDescent="0.2">
      <c r="A149" s="15"/>
      <c r="C149" s="15"/>
      <c r="D149" s="15"/>
      <c r="E149" s="15"/>
      <c r="I149" s="364"/>
      <c r="J149" s="364"/>
      <c r="K149" s="364"/>
    </row>
    <row r="150" spans="1:11" hidden="1" x14ac:dyDescent="0.2">
      <c r="I150" s="364"/>
      <c r="J150" s="364"/>
      <c r="K150" s="364"/>
    </row>
    <row r="151" spans="1:11" hidden="1" x14ac:dyDescent="0.2">
      <c r="A151" s="272"/>
      <c r="B151" s="273"/>
      <c r="C151" s="273"/>
      <c r="D151" s="273"/>
      <c r="I151" s="364"/>
      <c r="J151" s="364"/>
      <c r="K151" s="364"/>
    </row>
    <row r="152" spans="1:11" ht="13.5" hidden="1" thickBot="1" x14ac:dyDescent="0.25">
      <c r="A152" s="274"/>
      <c r="B152" s="275">
        <f>SUM(B153:B162)</f>
        <v>495408000</v>
      </c>
      <c r="C152" s="275">
        <f>SUM(C153:C162)</f>
        <v>945246434.67000008</v>
      </c>
      <c r="D152" s="275">
        <f t="shared" ref="D152" si="17">SUM(D153:D162)</f>
        <v>910219929.20000005</v>
      </c>
      <c r="I152" s="364"/>
      <c r="J152" s="364"/>
      <c r="K152" s="364"/>
    </row>
    <row r="153" spans="1:11" ht="13.5" hidden="1" thickTop="1" x14ac:dyDescent="0.2">
      <c r="A153" s="271" t="s">
        <v>143</v>
      </c>
      <c r="B153" s="170">
        <v>0</v>
      </c>
      <c r="C153" s="170">
        <v>9337862.9900000002</v>
      </c>
      <c r="D153" s="170">
        <v>9337862.9900000002</v>
      </c>
      <c r="H153" s="246" t="s">
        <v>62</v>
      </c>
      <c r="I153" s="364" t="e">
        <f>I100+#REF!+#REF!+#REF!+#REF!+I49+I14</f>
        <v>#REF!</v>
      </c>
      <c r="J153" s="364" t="e">
        <f>J100+#REF!+#REF!+#REF!+#REF!+J49+J14</f>
        <v>#REF!</v>
      </c>
      <c r="K153" s="364" t="e">
        <f>K100+#REF!+#REF!+#REF!+#REF!+K49+K14</f>
        <v>#REF!</v>
      </c>
    </row>
    <row r="154" spans="1:11" hidden="1" x14ac:dyDescent="0.2">
      <c r="A154" s="271" t="s">
        <v>144</v>
      </c>
      <c r="B154" s="170">
        <v>50666000</v>
      </c>
      <c r="C154" s="170">
        <v>50666000</v>
      </c>
      <c r="D154" s="170">
        <v>50666000</v>
      </c>
      <c r="H154" s="331" t="s">
        <v>145</v>
      </c>
      <c r="I154" s="364"/>
      <c r="J154" s="364"/>
      <c r="K154" s="364"/>
    </row>
    <row r="155" spans="1:11" hidden="1" x14ac:dyDescent="0.2">
      <c r="A155" s="271" t="s">
        <v>62</v>
      </c>
      <c r="B155" s="170">
        <v>444742000</v>
      </c>
      <c r="C155" s="170">
        <v>432300985.13</v>
      </c>
      <c r="D155" s="170">
        <v>427678553.86000001</v>
      </c>
      <c r="H155" s="331" t="s">
        <v>169</v>
      </c>
      <c r="I155" s="364"/>
      <c r="J155" s="364"/>
      <c r="K155" s="364"/>
    </row>
    <row r="156" spans="1:11" hidden="1" x14ac:dyDescent="0.2">
      <c r="A156" s="271" t="s">
        <v>145</v>
      </c>
      <c r="B156" s="170">
        <v>0</v>
      </c>
      <c r="C156" s="170">
        <v>369490957.85000002</v>
      </c>
      <c r="D156" s="170">
        <v>357842066.37</v>
      </c>
      <c r="H156" s="337" t="s">
        <v>110</v>
      </c>
      <c r="I156" s="364" t="e">
        <f>I101+#REF!+I76+#REF!+#REF!+I50+I15</f>
        <v>#REF!</v>
      </c>
      <c r="J156" s="364" t="e">
        <f>J101+#REF!+J76+#REF!+#REF!+J50+J15</f>
        <v>#REF!</v>
      </c>
      <c r="K156" s="364" t="e">
        <f>K101+#REF!+K76+#REF!+#REF!+K50+K15</f>
        <v>#REF!</v>
      </c>
    </row>
    <row r="157" spans="1:11" hidden="1" x14ac:dyDescent="0.2">
      <c r="A157" s="271" t="s">
        <v>110</v>
      </c>
      <c r="B157" s="170">
        <v>0</v>
      </c>
      <c r="C157" s="170">
        <f>19158375.27+4621671.56+49410772+5168950+5090859.87</f>
        <v>83450628.700000003</v>
      </c>
      <c r="D157" s="170">
        <v>64695445.979999997</v>
      </c>
      <c r="I157" s="364"/>
      <c r="J157" s="364"/>
      <c r="K157" s="364"/>
    </row>
    <row r="158" spans="1:11" hidden="1" x14ac:dyDescent="0.2">
      <c r="I158" s="364"/>
      <c r="J158" s="364"/>
      <c r="K158" s="364"/>
    </row>
    <row r="159" spans="1:11" hidden="1" x14ac:dyDescent="0.2">
      <c r="I159" s="364"/>
      <c r="J159" s="364"/>
      <c r="K159" s="364"/>
    </row>
    <row r="160" spans="1:11" ht="14.25" hidden="1" x14ac:dyDescent="0.2">
      <c r="I160" s="366" t="e">
        <f>SUM(I153:I155)</f>
        <v>#REF!</v>
      </c>
      <c r="J160" s="366" t="e">
        <f>SUM(J153:J155)</f>
        <v>#REF!</v>
      </c>
      <c r="K160" s="366" t="e">
        <f>SUM(K153:K155)</f>
        <v>#REF!</v>
      </c>
    </row>
    <row r="161" spans="8:11" hidden="1" x14ac:dyDescent="0.2">
      <c r="I161" s="364"/>
      <c r="J161" s="364"/>
      <c r="K161" s="364"/>
    </row>
    <row r="162" spans="8:11" hidden="1" x14ac:dyDescent="0.2">
      <c r="I162" s="364"/>
      <c r="J162" s="364"/>
      <c r="K162" s="364"/>
    </row>
    <row r="163" spans="8:11" hidden="1" x14ac:dyDescent="0.2">
      <c r="I163" s="364"/>
      <c r="J163" s="364"/>
      <c r="K163" s="364"/>
    </row>
    <row r="164" spans="8:11" hidden="1" x14ac:dyDescent="0.2">
      <c r="I164" s="364"/>
      <c r="J164" s="364"/>
      <c r="K164" s="364"/>
    </row>
    <row r="165" spans="8:11" x14ac:dyDescent="0.2">
      <c r="H165" s="337" t="s">
        <v>110</v>
      </c>
      <c r="I165" s="364">
        <f>I16+I51+I77+I92+I101</f>
        <v>0</v>
      </c>
      <c r="J165" s="364">
        <f t="shared" ref="J165:K165" si="18">J16+J51+J77+J92+J101</f>
        <v>56481535.870000005</v>
      </c>
      <c r="K165" s="364">
        <f t="shared" si="18"/>
        <v>51020384.090000004</v>
      </c>
    </row>
    <row r="166" spans="8:11" x14ac:dyDescent="0.2">
      <c r="H166" s="367" t="s">
        <v>82</v>
      </c>
      <c r="I166" s="364">
        <f>I17+I78</f>
        <v>0</v>
      </c>
      <c r="J166" s="364">
        <f t="shared" ref="J166:K166" si="19">J17+J78</f>
        <v>13389275</v>
      </c>
      <c r="K166" s="364">
        <f t="shared" si="19"/>
        <v>13389275</v>
      </c>
    </row>
    <row r="167" spans="8:11" x14ac:dyDescent="0.2">
      <c r="I167" s="365">
        <f>I113+I114+I115+I165+I166</f>
        <v>27760000</v>
      </c>
      <c r="J167" s="365">
        <f t="shared" ref="J167:K167" si="20">J113+J114+J115+J165+J166</f>
        <v>292342897.38999999</v>
      </c>
      <c r="K167" s="365">
        <f t="shared" si="20"/>
        <v>269980768.16999996</v>
      </c>
    </row>
  </sheetData>
  <phoneticPr fontId="5" type="noConversion"/>
  <pageMargins left="0.78740157480314965" right="0.78740157480314965" top="0.98425196850393704" bottom="0.98425196850393704" header="0.51181102362204722" footer="0.51181102362204722"/>
  <pageSetup paperSize="9" scale="69" firstPageNumber="186" orientation="portrait" r:id="rId1"/>
  <headerFooter alignWithMargins="0">
    <oddFooter>&amp;L&amp;"Arial,Kurzíva"Zastupitelstvo Olomouckého kraje 26.6.2015
4. - Rozpočet Olomouckého kraje 2014 - závěrečný účet 
Příloha č. 8: Přehled financování investičních akcí v roce 2014&amp;R&amp;"Arial,Kurzíva"Strana &amp;P (celkem 484)</oddFooter>
  </headerFooter>
  <rowBreaks count="1" manualBreakCount="1">
    <brk id="59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41"/>
  <sheetViews>
    <sheetView showGridLines="0" view="pageBreakPreview" zoomScaleNormal="100" zoomScaleSheetLayoutView="100" workbookViewId="0">
      <selection activeCell="A64" sqref="A64"/>
    </sheetView>
  </sheetViews>
  <sheetFormatPr defaultRowHeight="12.75" x14ac:dyDescent="0.2"/>
  <cols>
    <col min="1" max="1" width="76.28515625" style="1" customWidth="1"/>
    <col min="2" max="2" width="16" style="221" customWidth="1"/>
    <col min="3" max="3" width="17.28515625" style="222" customWidth="1"/>
    <col min="4" max="4" width="17.5703125" style="223" customWidth="1"/>
    <col min="5" max="5" width="8.5703125" style="223" customWidth="1"/>
    <col min="6" max="6" width="13.28515625" style="4" customWidth="1"/>
    <col min="7" max="9" width="11.7109375" style="1" bestFit="1" customWidth="1"/>
    <col min="10" max="16384" width="9.140625" style="1"/>
  </cols>
  <sheetData>
    <row r="1" spans="1:8" ht="25.5" customHeight="1" x14ac:dyDescent="0.25">
      <c r="A1" s="10" t="s">
        <v>212</v>
      </c>
      <c r="B1" s="213"/>
      <c r="C1" s="213"/>
      <c r="D1" s="214"/>
      <c r="E1" s="214"/>
      <c r="F1" s="5"/>
    </row>
    <row r="2" spans="1:8" s="2" customFormat="1" ht="15.75" x14ac:dyDescent="0.25">
      <c r="A2" s="11" t="s">
        <v>44</v>
      </c>
      <c r="B2" s="215"/>
      <c r="C2" s="215"/>
      <c r="D2" s="214"/>
      <c r="E2" s="214"/>
    </row>
    <row r="3" spans="1:8" s="2" customFormat="1" ht="15.75" x14ac:dyDescent="0.25">
      <c r="A3" s="11"/>
      <c r="B3" s="215"/>
      <c r="C3" s="215"/>
      <c r="D3" s="214"/>
      <c r="E3" s="214"/>
    </row>
    <row r="4" spans="1:8" s="15" customFormat="1" ht="18.75" customHeight="1" x14ac:dyDescent="0.25">
      <c r="A4" s="10" t="s">
        <v>211</v>
      </c>
      <c r="B4" s="18"/>
      <c r="C4" s="18"/>
      <c r="D4" s="18"/>
      <c r="E4" s="190"/>
    </row>
    <row r="5" spans="1:8" s="15" customFormat="1" ht="15.75" thickBot="1" x14ac:dyDescent="0.3">
      <c r="A5" s="11" t="s">
        <v>166</v>
      </c>
      <c r="B5" s="216"/>
      <c r="C5" s="216"/>
      <c r="D5" s="216"/>
      <c r="E5" s="190" t="s">
        <v>18</v>
      </c>
    </row>
    <row r="6" spans="1:8" ht="14.25" thickTop="1" thickBot="1" x14ac:dyDescent="0.25">
      <c r="A6" s="9" t="s">
        <v>5</v>
      </c>
      <c r="B6" s="191" t="s">
        <v>0</v>
      </c>
      <c r="C6" s="192" t="s">
        <v>1</v>
      </c>
      <c r="D6" s="193" t="s">
        <v>4</v>
      </c>
      <c r="E6" s="177" t="s">
        <v>6</v>
      </c>
      <c r="F6" s="1"/>
    </row>
    <row r="7" spans="1:8" ht="15.75" thickTop="1" x14ac:dyDescent="0.2">
      <c r="A7" s="63" t="s">
        <v>9</v>
      </c>
      <c r="B7" s="231">
        <f>SUM(B8:B8)</f>
        <v>0</v>
      </c>
      <c r="C7" s="231">
        <f>SUM(C8:C8)</f>
        <v>2628249.88</v>
      </c>
      <c r="D7" s="231">
        <f>SUM(D8:D8)</f>
        <v>2628249.88</v>
      </c>
      <c r="E7" s="327">
        <f t="shared" ref="E7" si="0">D7/C7*100</f>
        <v>100</v>
      </c>
      <c r="F7" s="1"/>
      <c r="H7" s="255"/>
    </row>
    <row r="8" spans="1:8" ht="15.75" thickBot="1" x14ac:dyDescent="0.3">
      <c r="A8" s="433" t="s">
        <v>381</v>
      </c>
      <c r="B8" s="317">
        <v>0</v>
      </c>
      <c r="C8" s="317">
        <v>2628249.88</v>
      </c>
      <c r="D8" s="317">
        <v>2628249.88</v>
      </c>
      <c r="E8" s="316">
        <f t="shared" ref="E8" si="1">D8/C8*100</f>
        <v>100</v>
      </c>
      <c r="F8" s="328">
        <v>60002100849</v>
      </c>
      <c r="H8" s="255"/>
    </row>
    <row r="9" spans="1:8" s="3" customFormat="1" ht="13.5" thickTop="1" x14ac:dyDescent="0.2">
      <c r="A9" s="233"/>
      <c r="B9" s="234"/>
      <c r="C9" s="234"/>
      <c r="D9" s="235"/>
      <c r="E9" s="236"/>
      <c r="F9" s="232"/>
    </row>
    <row r="10" spans="1:8" ht="19.5" customHeight="1" thickBot="1" x14ac:dyDescent="0.3">
      <c r="A10" s="32" t="s">
        <v>28</v>
      </c>
      <c r="B10" s="197">
        <f>B7</f>
        <v>0</v>
      </c>
      <c r="C10" s="197">
        <f>C7</f>
        <v>2628249.88</v>
      </c>
      <c r="D10" s="197">
        <f>D7</f>
        <v>2628249.88</v>
      </c>
      <c r="E10" s="217">
        <f>D10/C10*100</f>
        <v>100</v>
      </c>
      <c r="F10" s="7"/>
    </row>
    <row r="11" spans="1:8" ht="14.25" customHeight="1" thickTop="1" x14ac:dyDescent="0.2">
      <c r="A11" s="23"/>
      <c r="B11" s="62"/>
      <c r="C11" s="62"/>
      <c r="D11" s="62"/>
      <c r="E11" s="218"/>
      <c r="F11" s="7"/>
    </row>
    <row r="12" spans="1:8" x14ac:dyDescent="0.2">
      <c r="A12" s="6"/>
      <c r="B12" s="8"/>
      <c r="C12" s="8"/>
      <c r="D12" s="8"/>
      <c r="E12" s="8"/>
      <c r="F12" s="1"/>
    </row>
    <row r="13" spans="1:8" x14ac:dyDescent="0.2">
      <c r="A13" s="6"/>
      <c r="B13" s="8"/>
      <c r="C13" s="8"/>
      <c r="D13" s="8"/>
      <c r="E13" s="8"/>
      <c r="F13" s="1"/>
    </row>
    <row r="14" spans="1:8" ht="14.25" x14ac:dyDescent="0.2">
      <c r="A14" s="12" t="s">
        <v>12</v>
      </c>
      <c r="B14" s="219"/>
      <c r="C14" s="219"/>
      <c r="D14" s="219"/>
      <c r="E14" s="200"/>
      <c r="F14" s="1"/>
    </row>
    <row r="15" spans="1:8" ht="14.25" x14ac:dyDescent="0.2">
      <c r="A15" s="13" t="s">
        <v>15</v>
      </c>
      <c r="B15" s="220">
        <f>SUM(B10)</f>
        <v>0</v>
      </c>
      <c r="C15" s="220">
        <f>SUM(C10)</f>
        <v>2628249.88</v>
      </c>
      <c r="D15" s="220">
        <f>SUM(D10)</f>
        <v>2628249.88</v>
      </c>
      <c r="E15" s="184">
        <f>D15/C15*100</f>
        <v>100</v>
      </c>
      <c r="F15" s="1"/>
    </row>
    <row r="16" spans="1:8" ht="15.75" thickBot="1" x14ac:dyDescent="0.25">
      <c r="A16" s="14" t="s">
        <v>3</v>
      </c>
      <c r="B16" s="202">
        <f>SUM(B15:B15)</f>
        <v>0</v>
      </c>
      <c r="C16" s="202">
        <f>SUM(C15:C15)</f>
        <v>2628249.88</v>
      </c>
      <c r="D16" s="202">
        <f>SUM(D15:D15)</f>
        <v>2628249.88</v>
      </c>
      <c r="E16" s="185">
        <f t="shared" ref="E16" si="2">D16/C16*100</f>
        <v>100</v>
      </c>
    </row>
    <row r="17" spans="1:5" ht="13.5" thickTop="1" x14ac:dyDescent="0.2"/>
    <row r="18" spans="1:5" x14ac:dyDescent="0.2">
      <c r="B18" s="254"/>
      <c r="C18" s="254"/>
      <c r="D18" s="254"/>
    </row>
    <row r="21" spans="1:5" hidden="1" x14ac:dyDescent="0.2">
      <c r="B21" s="27"/>
      <c r="C21" s="256">
        <v>2013</v>
      </c>
      <c r="D21" s="27"/>
    </row>
    <row r="22" spans="1:5" hidden="1" x14ac:dyDescent="0.2">
      <c r="A22" s="25"/>
      <c r="B22" s="27">
        <v>8115</v>
      </c>
      <c r="C22" s="26">
        <v>80000000</v>
      </c>
      <c r="D22" s="27"/>
    </row>
    <row r="23" spans="1:5" hidden="1" x14ac:dyDescent="0.2">
      <c r="A23" s="25"/>
      <c r="B23" s="27">
        <v>8123</v>
      </c>
      <c r="C23" s="26">
        <v>5368000</v>
      </c>
      <c r="D23" s="27"/>
    </row>
    <row r="24" spans="1:5" hidden="1" x14ac:dyDescent="0.2">
      <c r="A24" s="27"/>
      <c r="B24" s="25" t="s">
        <v>128</v>
      </c>
      <c r="C24" s="26">
        <v>64.22</v>
      </c>
      <c r="D24" s="27"/>
    </row>
    <row r="25" spans="1:5" hidden="1" x14ac:dyDescent="0.2">
      <c r="A25" s="27"/>
      <c r="B25" s="27"/>
      <c r="C25" s="27"/>
      <c r="D25" s="27"/>
    </row>
    <row r="26" spans="1:5" hidden="1" x14ac:dyDescent="0.2">
      <c r="A26" s="27"/>
      <c r="B26" s="27"/>
      <c r="C26" s="27"/>
      <c r="D26" s="27"/>
    </row>
    <row r="27" spans="1:5" hidden="1" x14ac:dyDescent="0.2">
      <c r="A27" s="28"/>
      <c r="B27" s="257" t="s">
        <v>129</v>
      </c>
      <c r="C27" s="258">
        <f>SUM(C28:C33)</f>
        <v>31100846.479999959</v>
      </c>
      <c r="D27" s="259" t="s">
        <v>130</v>
      </c>
      <c r="E27" s="224"/>
    </row>
    <row r="28" spans="1:5" hidden="1" x14ac:dyDescent="0.2">
      <c r="A28" s="25"/>
      <c r="B28" s="260" t="s">
        <v>131</v>
      </c>
      <c r="C28" s="261">
        <v>66118497.020000003</v>
      </c>
      <c r="D28" s="259"/>
      <c r="E28" s="224"/>
    </row>
    <row r="29" spans="1:5" hidden="1" x14ac:dyDescent="0.2">
      <c r="A29" s="25"/>
      <c r="B29" s="260" t="s">
        <v>132</v>
      </c>
      <c r="C29" s="261">
        <v>238381000</v>
      </c>
      <c r="D29" s="259"/>
    </row>
    <row r="30" spans="1:5" hidden="1" x14ac:dyDescent="0.2">
      <c r="A30" s="25"/>
      <c r="B30" s="260" t="s">
        <v>133</v>
      </c>
      <c r="C30" s="261">
        <v>3761944.2</v>
      </c>
      <c r="D30" s="259" t="s">
        <v>134</v>
      </c>
    </row>
    <row r="31" spans="1:5" hidden="1" x14ac:dyDescent="0.2">
      <c r="A31" s="25"/>
      <c r="B31" s="260" t="s">
        <v>133</v>
      </c>
      <c r="C31" s="261">
        <v>513420</v>
      </c>
      <c r="D31" s="259" t="s">
        <v>135</v>
      </c>
    </row>
    <row r="32" spans="1:5" hidden="1" x14ac:dyDescent="0.2">
      <c r="A32" s="25"/>
      <c r="B32" s="260" t="s">
        <v>136</v>
      </c>
      <c r="C32" s="262">
        <v>-197674014.74000001</v>
      </c>
      <c r="D32" s="259"/>
    </row>
    <row r="33" spans="1:4" hidden="1" x14ac:dyDescent="0.2">
      <c r="A33" s="25"/>
      <c r="B33" s="260" t="s">
        <v>137</v>
      </c>
      <c r="C33" s="261">
        <v>-80000000</v>
      </c>
      <c r="D33" s="259"/>
    </row>
    <row r="34" spans="1:4" hidden="1" x14ac:dyDescent="0.2">
      <c r="A34" s="25"/>
      <c r="B34" s="263" t="s">
        <v>138</v>
      </c>
      <c r="C34" s="26"/>
      <c r="D34" s="27"/>
    </row>
    <row r="35" spans="1:4" hidden="1" x14ac:dyDescent="0.2"/>
    <row r="36" spans="1:4" hidden="1" x14ac:dyDescent="0.2"/>
    <row r="37" spans="1:4" hidden="1" x14ac:dyDescent="0.2">
      <c r="A37" s="264">
        <v>41302</v>
      </c>
      <c r="B37" s="265" t="s">
        <v>139</v>
      </c>
      <c r="C37" s="266">
        <v>31100846.48</v>
      </c>
    </row>
    <row r="38" spans="1:4" hidden="1" x14ac:dyDescent="0.2">
      <c r="C38" s="267">
        <f>-C32</f>
        <v>197674014.74000001</v>
      </c>
      <c r="D38" s="270" t="s">
        <v>141</v>
      </c>
    </row>
    <row r="39" spans="1:4" hidden="1" x14ac:dyDescent="0.2">
      <c r="C39" s="267">
        <f>-D16</f>
        <v>-2628249.88</v>
      </c>
      <c r="D39" s="270" t="s">
        <v>142</v>
      </c>
    </row>
    <row r="40" spans="1:4" hidden="1" x14ac:dyDescent="0.2">
      <c r="B40" s="269" t="s">
        <v>140</v>
      </c>
      <c r="C40" s="268">
        <f>SUM(C37:C39)</f>
        <v>226146611.34</v>
      </c>
    </row>
    <row r="41" spans="1:4" hidden="1" x14ac:dyDescent="0.2"/>
  </sheetData>
  <phoneticPr fontId="5" type="noConversion"/>
  <pageMargins left="0.78740157480314965" right="0.78740157480314965" top="0.98425196850393704" bottom="0.98425196850393704" header="0.51181102362204722" footer="0.51181102362204722"/>
  <pageSetup paperSize="9" scale="64" firstPageNumber="186" fitToHeight="6" orientation="portrait" r:id="rId1"/>
  <headerFooter alignWithMargins="0">
    <oddFooter>&amp;L&amp;"Arial,Kurzíva"Zastupitelstvo Olomouckého kraje 26.6.2015
4. - Rozpočet Olomouckého kraje 2014 - závěrečný účet 
Příloha č. 8: Přehled financování investičních akcí v roce 2014&amp;R&amp;"Arial,Kurzíva"Strana &amp;P (celkem 484)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32"/>
  <sheetViews>
    <sheetView showGridLines="0" view="pageBreakPreview" topLeftCell="A286" zoomScaleNormal="100" zoomScaleSheetLayoutView="100" workbookViewId="0">
      <selection activeCell="A217" sqref="A217"/>
    </sheetView>
  </sheetViews>
  <sheetFormatPr defaultRowHeight="12.75" x14ac:dyDescent="0.2"/>
  <cols>
    <col min="1" max="1" width="77.7109375" style="27" customWidth="1"/>
    <col min="2" max="2" width="17.140625" style="27" customWidth="1"/>
    <col min="3" max="3" width="16.85546875" style="27" customWidth="1"/>
    <col min="4" max="4" width="17.28515625" style="27" bestFit="1" customWidth="1"/>
    <col min="5" max="5" width="7.5703125" style="72" customWidth="1"/>
    <col min="6" max="6" width="12.42578125" style="149" bestFit="1" customWidth="1"/>
    <col min="7" max="7" width="19.140625" style="73" customWidth="1"/>
    <col min="8" max="8" width="13.140625" style="73" customWidth="1"/>
    <col min="9" max="9" width="18.42578125" style="27" customWidth="1"/>
    <col min="10" max="10" width="17.42578125" style="27" customWidth="1"/>
    <col min="11" max="11" width="18.5703125" style="27" customWidth="1"/>
    <col min="12" max="12" width="13.42578125" style="27" customWidth="1"/>
    <col min="13" max="16384" width="9.140625" style="27"/>
  </cols>
  <sheetData>
    <row r="1" spans="1:12" s="67" customFormat="1" ht="18" x14ac:dyDescent="0.25">
      <c r="A1" s="64" t="s">
        <v>212</v>
      </c>
      <c r="B1" s="64"/>
      <c r="C1" s="64"/>
      <c r="D1" s="64"/>
      <c r="E1" s="64"/>
      <c r="F1" s="148"/>
      <c r="G1" s="65"/>
      <c r="H1" s="66"/>
    </row>
    <row r="2" spans="1:12" s="70" customFormat="1" ht="15.75" x14ac:dyDescent="0.25">
      <c r="A2" s="68" t="s">
        <v>74</v>
      </c>
      <c r="B2" s="69"/>
      <c r="C2" s="69"/>
      <c r="D2" s="69"/>
      <c r="E2" s="69"/>
      <c r="F2" s="148"/>
      <c r="G2" s="65"/>
      <c r="H2" s="66"/>
    </row>
    <row r="3" spans="1:12" ht="12" customHeight="1" x14ac:dyDescent="0.2"/>
    <row r="4" spans="1:12" ht="15" customHeight="1" x14ac:dyDescent="0.25">
      <c r="A4" s="71" t="s">
        <v>24</v>
      </c>
    </row>
    <row r="5" spans="1:12" ht="15.75" thickBot="1" x14ac:dyDescent="0.3">
      <c r="A5" s="74" t="s">
        <v>25</v>
      </c>
      <c r="D5" s="25"/>
      <c r="E5" s="75" t="s">
        <v>18</v>
      </c>
    </row>
    <row r="6" spans="1:12" ht="14.25" thickTop="1" thickBot="1" x14ac:dyDescent="0.25">
      <c r="A6" s="76" t="s">
        <v>5</v>
      </c>
      <c r="B6" s="77" t="s">
        <v>0</v>
      </c>
      <c r="C6" s="78" t="s">
        <v>1</v>
      </c>
      <c r="D6" s="79" t="s">
        <v>4</v>
      </c>
      <c r="E6" s="80" t="s">
        <v>6</v>
      </c>
    </row>
    <row r="7" spans="1:12" ht="15.75" thickTop="1" x14ac:dyDescent="0.25">
      <c r="A7" s="81" t="s">
        <v>7</v>
      </c>
      <c r="B7" s="82">
        <f>SUM(B8:B51)</f>
        <v>79000</v>
      </c>
      <c r="C7" s="82">
        <f t="shared" ref="C7:D7" si="0">SUM(C8:C51)</f>
        <v>131150256.08999999</v>
      </c>
      <c r="D7" s="82">
        <f t="shared" si="0"/>
        <v>110348144.73</v>
      </c>
      <c r="E7" s="83">
        <f>D7/C7*100</f>
        <v>84.138718459135276</v>
      </c>
      <c r="H7" s="94"/>
      <c r="I7" s="286"/>
      <c r="J7" s="287"/>
      <c r="K7" s="288"/>
    </row>
    <row r="8" spans="1:12" s="86" customFormat="1" x14ac:dyDescent="0.2">
      <c r="A8" s="308" t="s">
        <v>213</v>
      </c>
      <c r="B8" s="301">
        <v>0</v>
      </c>
      <c r="C8" s="311">
        <v>1000</v>
      </c>
      <c r="D8" s="301">
        <v>1000</v>
      </c>
      <c r="E8" s="84">
        <f>D8/C8*100</f>
        <v>100</v>
      </c>
      <c r="F8" s="137">
        <v>100026</v>
      </c>
      <c r="G8" s="246" t="s">
        <v>62</v>
      </c>
      <c r="H8" s="289"/>
      <c r="I8" s="290"/>
      <c r="J8" s="290"/>
      <c r="K8" s="290"/>
    </row>
    <row r="9" spans="1:12" s="144" customFormat="1" x14ac:dyDescent="0.2">
      <c r="A9" s="308" t="s">
        <v>76</v>
      </c>
      <c r="B9" s="301">
        <v>0</v>
      </c>
      <c r="C9" s="312">
        <v>105327</v>
      </c>
      <c r="D9" s="312">
        <v>101227.9</v>
      </c>
      <c r="E9" s="84">
        <f t="shared" ref="E9:E35" si="1">D9/C9*100</f>
        <v>96.108215367379685</v>
      </c>
      <c r="F9" s="137">
        <v>100537</v>
      </c>
      <c r="G9" s="246" t="s">
        <v>62</v>
      </c>
      <c r="H9" s="291"/>
      <c r="I9" s="292"/>
      <c r="J9" s="292"/>
      <c r="K9" s="292"/>
    </row>
    <row r="10" spans="1:12" s="144" customFormat="1" ht="25.5" x14ac:dyDescent="0.2">
      <c r="A10" s="88" t="s">
        <v>373</v>
      </c>
      <c r="B10" s="301">
        <v>79000</v>
      </c>
      <c r="C10" s="312">
        <v>17673</v>
      </c>
      <c r="D10" s="312">
        <v>17673</v>
      </c>
      <c r="E10" s="84">
        <f t="shared" si="1"/>
        <v>100</v>
      </c>
      <c r="F10" s="137">
        <v>100706</v>
      </c>
      <c r="G10" s="246" t="s">
        <v>62</v>
      </c>
      <c r="H10" s="143"/>
    </row>
    <row r="11" spans="1:12" s="144" customFormat="1" x14ac:dyDescent="0.2">
      <c r="A11" s="88" t="s">
        <v>374</v>
      </c>
      <c r="B11" s="301">
        <v>0</v>
      </c>
      <c r="C11" s="315">
        <v>1000</v>
      </c>
      <c r="D11" s="315">
        <v>1000</v>
      </c>
      <c r="E11" s="84">
        <f t="shared" si="1"/>
        <v>100</v>
      </c>
      <c r="F11" s="137">
        <v>100707</v>
      </c>
      <c r="G11" s="246" t="s">
        <v>62</v>
      </c>
      <c r="H11" s="143"/>
    </row>
    <row r="12" spans="1:12" s="144" customFormat="1" ht="25.5" x14ac:dyDescent="0.2">
      <c r="A12" s="88" t="s">
        <v>375</v>
      </c>
      <c r="B12" s="301">
        <v>0</v>
      </c>
      <c r="C12" s="311">
        <v>1000</v>
      </c>
      <c r="D12" s="312">
        <v>1000</v>
      </c>
      <c r="E12" s="84">
        <f t="shared" si="1"/>
        <v>100</v>
      </c>
      <c r="F12" s="137">
        <v>100709</v>
      </c>
      <c r="G12" s="246" t="s">
        <v>62</v>
      </c>
      <c r="H12" s="143"/>
    </row>
    <row r="13" spans="1:12" s="144" customFormat="1" ht="25.5" x14ac:dyDescent="0.2">
      <c r="A13" s="88" t="s">
        <v>376</v>
      </c>
      <c r="B13" s="301">
        <v>0</v>
      </c>
      <c r="C13" s="311">
        <v>1589882.69</v>
      </c>
      <c r="D13" s="312">
        <v>1564389</v>
      </c>
      <c r="E13" s="84">
        <f t="shared" si="1"/>
        <v>98.396504964778259</v>
      </c>
      <c r="F13" s="137">
        <v>100891</v>
      </c>
      <c r="G13" s="246" t="s">
        <v>62</v>
      </c>
      <c r="H13" s="143"/>
    </row>
    <row r="14" spans="1:12" s="144" customFormat="1" ht="38.25" x14ac:dyDescent="0.2">
      <c r="A14" s="88" t="s">
        <v>377</v>
      </c>
      <c r="B14" s="301">
        <v>0</v>
      </c>
      <c r="C14" s="311">
        <v>1163000</v>
      </c>
      <c r="D14" s="312">
        <v>1097955</v>
      </c>
      <c r="E14" s="84">
        <f t="shared" si="1"/>
        <v>94.407136715391232</v>
      </c>
      <c r="F14" s="137">
        <v>100892</v>
      </c>
      <c r="G14" s="246" t="s">
        <v>62</v>
      </c>
      <c r="H14" s="143"/>
      <c r="I14" s="282"/>
      <c r="J14" s="283"/>
      <c r="K14" s="283"/>
      <c r="L14" s="283"/>
    </row>
    <row r="15" spans="1:12" s="144" customFormat="1" x14ac:dyDescent="0.2">
      <c r="A15" s="434" t="s">
        <v>85</v>
      </c>
      <c r="B15" s="301">
        <v>0</v>
      </c>
      <c r="C15" s="315">
        <v>2743875</v>
      </c>
      <c r="D15" s="315">
        <v>2743875</v>
      </c>
      <c r="E15" s="84">
        <f t="shared" si="1"/>
        <v>100</v>
      </c>
      <c r="F15" s="344">
        <v>100134</v>
      </c>
      <c r="G15" s="375" t="s">
        <v>250</v>
      </c>
      <c r="H15" s="143"/>
      <c r="I15" s="246"/>
      <c r="J15" s="277"/>
      <c r="K15" s="277"/>
      <c r="L15" s="277"/>
    </row>
    <row r="16" spans="1:12" s="144" customFormat="1" x14ac:dyDescent="0.2">
      <c r="A16" s="88" t="s">
        <v>90</v>
      </c>
      <c r="B16" s="301">
        <v>0</v>
      </c>
      <c r="C16" s="315">
        <v>10344386.74</v>
      </c>
      <c r="D16" s="315">
        <v>9007176.7599999998</v>
      </c>
      <c r="E16" s="84">
        <f t="shared" si="1"/>
        <v>87.073085977835348</v>
      </c>
      <c r="F16" s="137">
        <v>100463</v>
      </c>
      <c r="G16" s="375" t="s">
        <v>250</v>
      </c>
      <c r="H16" s="143"/>
      <c r="I16" s="375"/>
      <c r="J16" s="378"/>
      <c r="K16" s="378"/>
      <c r="L16" s="378"/>
    </row>
    <row r="17" spans="1:12" s="144" customFormat="1" x14ac:dyDescent="0.2">
      <c r="A17" s="88" t="s">
        <v>91</v>
      </c>
      <c r="B17" s="301">
        <v>0</v>
      </c>
      <c r="C17" s="315">
        <v>10798447.5</v>
      </c>
      <c r="D17" s="315">
        <v>9942630.25</v>
      </c>
      <c r="E17" s="84">
        <f t="shared" si="1"/>
        <v>92.074626931325071</v>
      </c>
      <c r="F17" s="137">
        <v>100465</v>
      </c>
      <c r="G17" s="375" t="s">
        <v>250</v>
      </c>
      <c r="H17" s="143"/>
      <c r="I17" s="252"/>
      <c r="J17" s="278"/>
      <c r="K17" s="278"/>
      <c r="L17" s="278"/>
    </row>
    <row r="18" spans="1:12" s="144" customFormat="1" ht="15" x14ac:dyDescent="0.25">
      <c r="A18" s="88" t="s">
        <v>251</v>
      </c>
      <c r="B18" s="301">
        <v>0</v>
      </c>
      <c r="C18" s="315">
        <v>228200</v>
      </c>
      <c r="D18" s="315">
        <v>94545</v>
      </c>
      <c r="E18" s="84">
        <f t="shared" si="1"/>
        <v>41.430762489044696</v>
      </c>
      <c r="F18" s="137">
        <v>100466</v>
      </c>
      <c r="G18" s="375" t="s">
        <v>250</v>
      </c>
      <c r="H18" s="143"/>
      <c r="I18" s="15"/>
      <c r="J18" s="276"/>
      <c r="K18" s="276"/>
      <c r="L18" s="276"/>
    </row>
    <row r="19" spans="1:12" s="144" customFormat="1" x14ac:dyDescent="0.2">
      <c r="A19" s="88" t="s">
        <v>92</v>
      </c>
      <c r="B19" s="301">
        <v>0</v>
      </c>
      <c r="C19" s="315">
        <v>3582380</v>
      </c>
      <c r="D19" s="315">
        <v>3512732.19</v>
      </c>
      <c r="E19" s="84">
        <f t="shared" si="1"/>
        <v>98.055822944522902</v>
      </c>
      <c r="F19" s="137">
        <v>100469</v>
      </c>
      <c r="G19" s="375" t="s">
        <v>250</v>
      </c>
      <c r="H19" s="143"/>
    </row>
    <row r="20" spans="1:12" s="144" customFormat="1" x14ac:dyDescent="0.2">
      <c r="A20" s="88" t="s">
        <v>157</v>
      </c>
      <c r="B20" s="301">
        <v>0</v>
      </c>
      <c r="C20" s="315">
        <v>9834213.9000000004</v>
      </c>
      <c r="D20" s="315">
        <v>9594260.3000000007</v>
      </c>
      <c r="E20" s="84">
        <f t="shared" si="1"/>
        <v>97.560012397127139</v>
      </c>
      <c r="F20" s="137">
        <v>100473</v>
      </c>
      <c r="G20" s="375" t="s">
        <v>250</v>
      </c>
      <c r="H20" s="143"/>
    </row>
    <row r="21" spans="1:12" s="144" customFormat="1" x14ac:dyDescent="0.2">
      <c r="A21" s="88" t="s">
        <v>86</v>
      </c>
      <c r="B21" s="301">
        <v>0</v>
      </c>
      <c r="C21" s="315">
        <v>1320449</v>
      </c>
      <c r="D21" s="315">
        <v>972463.69</v>
      </c>
      <c r="E21" s="84">
        <f t="shared" si="1"/>
        <v>73.646440718270824</v>
      </c>
      <c r="F21" s="137">
        <v>100510</v>
      </c>
      <c r="G21" s="375" t="s">
        <v>250</v>
      </c>
      <c r="H21" s="143"/>
    </row>
    <row r="22" spans="1:12" s="144" customFormat="1" x14ac:dyDescent="0.2">
      <c r="A22" s="88" t="s">
        <v>93</v>
      </c>
      <c r="B22" s="301">
        <v>0</v>
      </c>
      <c r="C22" s="315">
        <v>8052107</v>
      </c>
      <c r="D22" s="315">
        <v>8052107</v>
      </c>
      <c r="E22" s="84">
        <f t="shared" si="1"/>
        <v>100</v>
      </c>
      <c r="F22" s="137">
        <v>100511</v>
      </c>
      <c r="G22" s="375" t="s">
        <v>250</v>
      </c>
      <c r="H22" s="143"/>
    </row>
    <row r="23" spans="1:12" s="144" customFormat="1" x14ac:dyDescent="0.2">
      <c r="A23" s="88" t="s">
        <v>94</v>
      </c>
      <c r="B23" s="301">
        <v>0</v>
      </c>
      <c r="C23" s="315">
        <v>2424218.5299999998</v>
      </c>
      <c r="D23" s="315">
        <v>2420896.12</v>
      </c>
      <c r="E23" s="84">
        <f t="shared" si="1"/>
        <v>99.862949236676286</v>
      </c>
      <c r="F23" s="137">
        <v>100512</v>
      </c>
      <c r="G23" s="375" t="s">
        <v>250</v>
      </c>
      <c r="H23" s="143"/>
    </row>
    <row r="24" spans="1:12" s="144" customFormat="1" x14ac:dyDescent="0.2">
      <c r="A24" s="88" t="s">
        <v>95</v>
      </c>
      <c r="B24" s="301">
        <v>0</v>
      </c>
      <c r="C24" s="315">
        <v>1428466.8</v>
      </c>
      <c r="D24" s="315">
        <v>1424106.45</v>
      </c>
      <c r="E24" s="84">
        <f t="shared" si="1"/>
        <v>99.694753143720234</v>
      </c>
      <c r="F24" s="137">
        <v>100513</v>
      </c>
      <c r="G24" s="375" t="s">
        <v>250</v>
      </c>
      <c r="H24" s="143"/>
    </row>
    <row r="25" spans="1:12" s="144" customFormat="1" ht="25.5" customHeight="1" x14ac:dyDescent="0.2">
      <c r="A25" s="88" t="s">
        <v>96</v>
      </c>
      <c r="B25" s="301">
        <v>0</v>
      </c>
      <c r="C25" s="311">
        <v>2417226.96</v>
      </c>
      <c r="D25" s="312">
        <v>2311205.85</v>
      </c>
      <c r="E25" s="84">
        <f t="shared" si="1"/>
        <v>95.613936475373421</v>
      </c>
      <c r="F25" s="137">
        <v>100545</v>
      </c>
      <c r="G25" s="375" t="s">
        <v>250</v>
      </c>
      <c r="H25" s="143"/>
    </row>
    <row r="26" spans="1:12" s="144" customFormat="1" x14ac:dyDescent="0.2">
      <c r="A26" s="88" t="s">
        <v>97</v>
      </c>
      <c r="B26" s="301">
        <v>0</v>
      </c>
      <c r="C26" s="311">
        <v>4497621.3</v>
      </c>
      <c r="D26" s="312">
        <v>2173675.54</v>
      </c>
      <c r="E26" s="84">
        <f t="shared" si="1"/>
        <v>48.329447835014484</v>
      </c>
      <c r="F26" s="137">
        <v>100546</v>
      </c>
      <c r="G26" s="375" t="s">
        <v>250</v>
      </c>
      <c r="H26" s="143"/>
    </row>
    <row r="27" spans="1:12" s="144" customFormat="1" x14ac:dyDescent="0.2">
      <c r="A27" s="88" t="s">
        <v>87</v>
      </c>
      <c r="B27" s="301">
        <v>0</v>
      </c>
      <c r="C27" s="311">
        <v>1789476.7</v>
      </c>
      <c r="D27" s="312">
        <v>162679.70000000001</v>
      </c>
      <c r="E27" s="84">
        <f t="shared" si="1"/>
        <v>9.0909090909090917</v>
      </c>
      <c r="F27" s="137">
        <v>100547</v>
      </c>
      <c r="G27" s="375" t="s">
        <v>250</v>
      </c>
      <c r="H27" s="143"/>
    </row>
    <row r="28" spans="1:12" s="144" customFormat="1" x14ac:dyDescent="0.2">
      <c r="A28" s="88" t="s">
        <v>88</v>
      </c>
      <c r="B28" s="301">
        <v>0</v>
      </c>
      <c r="C28" s="311">
        <v>8624740.8000000007</v>
      </c>
      <c r="D28" s="312">
        <v>8500105.6999999993</v>
      </c>
      <c r="E28" s="84">
        <f t="shared" si="1"/>
        <v>98.554911934280952</v>
      </c>
      <c r="F28" s="137">
        <v>100549</v>
      </c>
      <c r="G28" s="375" t="s">
        <v>250</v>
      </c>
      <c r="H28" s="143"/>
    </row>
    <row r="29" spans="1:12" s="144" customFormat="1" ht="25.5" x14ac:dyDescent="0.2">
      <c r="A29" s="88" t="s">
        <v>99</v>
      </c>
      <c r="B29" s="301">
        <v>0</v>
      </c>
      <c r="C29" s="312">
        <v>6357931.5</v>
      </c>
      <c r="D29" s="311">
        <v>6032199.5199999996</v>
      </c>
      <c r="E29" s="84">
        <f t="shared" si="1"/>
        <v>94.876761726671631</v>
      </c>
      <c r="F29" s="137">
        <v>100553</v>
      </c>
      <c r="G29" s="375" t="s">
        <v>250</v>
      </c>
      <c r="H29" s="143"/>
    </row>
    <row r="30" spans="1:12" s="144" customFormat="1" x14ac:dyDescent="0.2">
      <c r="A30" s="88" t="s">
        <v>101</v>
      </c>
      <c r="B30" s="301">
        <v>0</v>
      </c>
      <c r="C30" s="311">
        <v>1062980.52</v>
      </c>
      <c r="D30" s="312">
        <v>914106.33</v>
      </c>
      <c r="E30" s="84">
        <f t="shared" si="1"/>
        <v>85.994645508649583</v>
      </c>
      <c r="F30" s="137">
        <v>100559</v>
      </c>
      <c r="G30" s="375" t="s">
        <v>250</v>
      </c>
      <c r="H30" s="143"/>
    </row>
    <row r="31" spans="1:12" s="144" customFormat="1" x14ac:dyDescent="0.2">
      <c r="A31" s="88" t="s">
        <v>102</v>
      </c>
      <c r="B31" s="301">
        <v>0</v>
      </c>
      <c r="C31" s="311">
        <v>1379512.49</v>
      </c>
      <c r="D31" s="312">
        <v>1067425.3899999999</v>
      </c>
      <c r="E31" s="84">
        <f t="shared" si="1"/>
        <v>77.377000769307998</v>
      </c>
      <c r="F31" s="137">
        <v>100561</v>
      </c>
      <c r="G31" s="375" t="s">
        <v>250</v>
      </c>
      <c r="H31" s="143"/>
    </row>
    <row r="32" spans="1:12" s="144" customFormat="1" x14ac:dyDescent="0.2">
      <c r="A32" s="88" t="s">
        <v>103</v>
      </c>
      <c r="B32" s="301">
        <v>0</v>
      </c>
      <c r="C32" s="311">
        <v>2400606.5099999998</v>
      </c>
      <c r="D32" s="312">
        <v>2315488.0499999998</v>
      </c>
      <c r="E32" s="84">
        <f t="shared" si="1"/>
        <v>96.454293544342676</v>
      </c>
      <c r="F32" s="137">
        <v>100562</v>
      </c>
      <c r="G32" s="375" t="s">
        <v>250</v>
      </c>
      <c r="H32" s="143"/>
    </row>
    <row r="33" spans="1:8" s="144" customFormat="1" x14ac:dyDescent="0.2">
      <c r="A33" s="88" t="s">
        <v>104</v>
      </c>
      <c r="B33" s="301">
        <v>0</v>
      </c>
      <c r="C33" s="311">
        <v>100381</v>
      </c>
      <c r="D33" s="312">
        <v>100319.31</v>
      </c>
      <c r="E33" s="84">
        <f t="shared" si="1"/>
        <v>99.938544146800695</v>
      </c>
      <c r="F33" s="137">
        <v>100563</v>
      </c>
      <c r="G33" s="375" t="s">
        <v>253</v>
      </c>
      <c r="H33" s="143"/>
    </row>
    <row r="34" spans="1:8" s="144" customFormat="1" x14ac:dyDescent="0.2">
      <c r="A34" s="88" t="s">
        <v>254</v>
      </c>
      <c r="B34" s="301">
        <v>0</v>
      </c>
      <c r="C34" s="311">
        <v>235950</v>
      </c>
      <c r="D34" s="312">
        <v>235950</v>
      </c>
      <c r="E34" s="84">
        <f t="shared" si="1"/>
        <v>100</v>
      </c>
      <c r="F34" s="137">
        <v>100661</v>
      </c>
      <c r="G34" s="375" t="s">
        <v>252</v>
      </c>
      <c r="H34" s="143"/>
    </row>
    <row r="35" spans="1:8" s="144" customFormat="1" x14ac:dyDescent="0.2">
      <c r="A35" s="88" t="s">
        <v>105</v>
      </c>
      <c r="B35" s="301">
        <v>0</v>
      </c>
      <c r="C35" s="312">
        <v>4640850</v>
      </c>
      <c r="D35" s="312">
        <v>4387477.1100000003</v>
      </c>
      <c r="E35" s="84">
        <f t="shared" si="1"/>
        <v>94.540377517049691</v>
      </c>
      <c r="F35" s="137">
        <v>100694</v>
      </c>
      <c r="G35" s="375" t="s">
        <v>250</v>
      </c>
      <c r="H35" s="143"/>
    </row>
    <row r="36" spans="1:8" s="86" customFormat="1" x14ac:dyDescent="0.2">
      <c r="A36" s="88" t="s">
        <v>170</v>
      </c>
      <c r="B36" s="301">
        <v>0</v>
      </c>
      <c r="C36" s="312">
        <v>10985404.789999999</v>
      </c>
      <c r="D36" s="312">
        <v>10985403.76</v>
      </c>
      <c r="E36" s="84">
        <f t="shared" ref="E36:E44" si="2">D36/C36*100</f>
        <v>99.999990623923125</v>
      </c>
      <c r="F36" s="137">
        <v>100821</v>
      </c>
      <c r="G36" s="375" t="s">
        <v>252</v>
      </c>
      <c r="H36" s="85"/>
    </row>
    <row r="37" spans="1:8" s="86" customFormat="1" x14ac:dyDescent="0.2">
      <c r="A37" s="88" t="s">
        <v>255</v>
      </c>
      <c r="B37" s="301">
        <v>0</v>
      </c>
      <c r="C37" s="312">
        <v>481564</v>
      </c>
      <c r="D37" s="312">
        <v>320948</v>
      </c>
      <c r="E37" s="84">
        <f t="shared" si="2"/>
        <v>66.647008497312925</v>
      </c>
      <c r="F37" s="137">
        <v>100873</v>
      </c>
      <c r="G37" s="375" t="s">
        <v>250</v>
      </c>
      <c r="H37" s="85"/>
    </row>
    <row r="38" spans="1:8" s="86" customFormat="1" x14ac:dyDescent="0.2">
      <c r="A38" s="88" t="s">
        <v>256</v>
      </c>
      <c r="B38" s="301">
        <v>0</v>
      </c>
      <c r="C38" s="312">
        <v>354400</v>
      </c>
      <c r="D38" s="312">
        <v>224818</v>
      </c>
      <c r="E38" s="84">
        <f t="shared" si="2"/>
        <v>63.436230248306998</v>
      </c>
      <c r="F38" s="137">
        <v>100875</v>
      </c>
      <c r="G38" s="375" t="s">
        <v>250</v>
      </c>
      <c r="H38" s="85"/>
    </row>
    <row r="39" spans="1:8" s="86" customFormat="1" x14ac:dyDescent="0.2">
      <c r="A39" s="88" t="s">
        <v>257</v>
      </c>
      <c r="B39" s="301">
        <v>0</v>
      </c>
      <c r="C39" s="312">
        <v>151250</v>
      </c>
      <c r="D39" s="312">
        <v>151250</v>
      </c>
      <c r="E39" s="84">
        <f t="shared" si="2"/>
        <v>100</v>
      </c>
      <c r="F39" s="137">
        <v>100876</v>
      </c>
      <c r="G39" s="375" t="s">
        <v>252</v>
      </c>
      <c r="H39" s="85"/>
    </row>
    <row r="40" spans="1:8" s="86" customFormat="1" x14ac:dyDescent="0.2">
      <c r="A40" s="88" t="s">
        <v>258</v>
      </c>
      <c r="B40" s="301">
        <v>0</v>
      </c>
      <c r="C40" s="312">
        <v>282750</v>
      </c>
      <c r="D40" s="312">
        <v>145200</v>
      </c>
      <c r="E40" s="84">
        <f t="shared" si="2"/>
        <v>51.352785145888589</v>
      </c>
      <c r="F40" s="137">
        <v>100877</v>
      </c>
      <c r="G40" s="375" t="s">
        <v>252</v>
      </c>
      <c r="H40" s="85"/>
    </row>
    <row r="41" spans="1:8" s="86" customFormat="1" x14ac:dyDescent="0.2">
      <c r="A41" s="88" t="s">
        <v>259</v>
      </c>
      <c r="B41" s="301">
        <v>0</v>
      </c>
      <c r="C41" s="312">
        <v>260000</v>
      </c>
      <c r="D41" s="312">
        <v>138946</v>
      </c>
      <c r="E41" s="84">
        <f t="shared" si="2"/>
        <v>53.440769230769234</v>
      </c>
      <c r="F41" s="137">
        <v>100878</v>
      </c>
      <c r="G41" s="375" t="s">
        <v>252</v>
      </c>
      <c r="H41" s="85"/>
    </row>
    <row r="42" spans="1:8" s="86" customFormat="1" x14ac:dyDescent="0.2">
      <c r="A42" s="88" t="s">
        <v>260</v>
      </c>
      <c r="B42" s="301">
        <v>0</v>
      </c>
      <c r="C42" s="312">
        <v>376000</v>
      </c>
      <c r="D42" s="312">
        <v>178739</v>
      </c>
      <c r="E42" s="84">
        <f t="shared" si="2"/>
        <v>47.536968085106388</v>
      </c>
      <c r="F42" s="376">
        <v>100879</v>
      </c>
      <c r="G42" s="375" t="s">
        <v>250</v>
      </c>
      <c r="H42" s="85"/>
    </row>
    <row r="43" spans="1:8" s="86" customFormat="1" ht="12.75" customHeight="1" x14ac:dyDescent="0.2">
      <c r="A43" s="88" t="s">
        <v>261</v>
      </c>
      <c r="B43" s="301">
        <v>0</v>
      </c>
      <c r="C43" s="312">
        <v>289000</v>
      </c>
      <c r="D43" s="312">
        <v>159233</v>
      </c>
      <c r="E43" s="84">
        <f t="shared" si="2"/>
        <v>55.097923875432528</v>
      </c>
      <c r="F43" s="137">
        <v>100880</v>
      </c>
      <c r="G43" s="375" t="s">
        <v>250</v>
      </c>
      <c r="H43" s="85"/>
    </row>
    <row r="44" spans="1:8" s="86" customFormat="1" ht="12.75" customHeight="1" x14ac:dyDescent="0.2">
      <c r="A44" s="88" t="s">
        <v>262</v>
      </c>
      <c r="B44" s="301">
        <v>0</v>
      </c>
      <c r="C44" s="312">
        <v>248720</v>
      </c>
      <c r="D44" s="312">
        <v>43560</v>
      </c>
      <c r="E44" s="84">
        <f t="shared" si="2"/>
        <v>17.513669990350593</v>
      </c>
      <c r="F44" s="137">
        <v>100881</v>
      </c>
      <c r="G44" s="375" t="s">
        <v>250</v>
      </c>
      <c r="H44" s="85"/>
    </row>
    <row r="45" spans="1:8" s="86" customFormat="1" ht="25.5" x14ac:dyDescent="0.2">
      <c r="A45" s="88" t="s">
        <v>263</v>
      </c>
      <c r="B45" s="301">
        <v>0</v>
      </c>
      <c r="C45" s="312">
        <v>316020</v>
      </c>
      <c r="D45" s="312">
        <v>199905</v>
      </c>
      <c r="E45" s="84">
        <f t="shared" ref="E45:E51" si="3">D45/C45*100</f>
        <v>63.257072337193854</v>
      </c>
      <c r="F45" s="137">
        <v>100882</v>
      </c>
      <c r="G45" s="375" t="s">
        <v>250</v>
      </c>
      <c r="H45" s="85"/>
    </row>
    <row r="46" spans="1:8" s="86" customFormat="1" x14ac:dyDescent="0.2">
      <c r="A46" s="88" t="s">
        <v>89</v>
      </c>
      <c r="B46" s="301">
        <v>0</v>
      </c>
      <c r="C46" s="312">
        <v>6905241.0499999998</v>
      </c>
      <c r="D46" s="312">
        <v>894795</v>
      </c>
      <c r="E46" s="84">
        <f t="shared" si="3"/>
        <v>12.958200785764026</v>
      </c>
      <c r="F46" s="137">
        <v>100573</v>
      </c>
      <c r="G46" s="379" t="s">
        <v>272</v>
      </c>
      <c r="H46" s="85"/>
    </row>
    <row r="47" spans="1:8" s="86" customFormat="1" x14ac:dyDescent="0.2">
      <c r="A47" s="88" t="s">
        <v>106</v>
      </c>
      <c r="B47" s="301">
        <v>0</v>
      </c>
      <c r="C47" s="312">
        <v>6788579.7000000002</v>
      </c>
      <c r="D47" s="312">
        <v>3000000</v>
      </c>
      <c r="E47" s="84">
        <f t="shared" si="3"/>
        <v>44.191865347032753</v>
      </c>
      <c r="F47" s="137">
        <v>100792</v>
      </c>
      <c r="G47" s="379" t="s">
        <v>271</v>
      </c>
      <c r="H47" s="85"/>
    </row>
    <row r="48" spans="1:8" s="86" customFormat="1" x14ac:dyDescent="0.2">
      <c r="A48" s="88" t="s">
        <v>107</v>
      </c>
      <c r="B48" s="301">
        <v>0</v>
      </c>
      <c r="C48" s="312">
        <v>10049893.35</v>
      </c>
      <c r="D48" s="312">
        <v>9948334.3499999996</v>
      </c>
      <c r="E48" s="84">
        <f t="shared" si="3"/>
        <v>98.989451962691717</v>
      </c>
      <c r="F48" s="137">
        <v>100793</v>
      </c>
      <c r="G48" s="379" t="s">
        <v>272</v>
      </c>
      <c r="H48" s="85"/>
    </row>
    <row r="49" spans="1:8" s="86" customFormat="1" x14ac:dyDescent="0.2">
      <c r="A49" s="88" t="s">
        <v>202</v>
      </c>
      <c r="B49" s="301">
        <v>0</v>
      </c>
      <c r="C49" s="312">
        <v>1508100</v>
      </c>
      <c r="D49" s="312">
        <v>1167450</v>
      </c>
      <c r="E49" s="84">
        <f t="shared" si="3"/>
        <v>77.411975333200715</v>
      </c>
      <c r="F49" s="137">
        <v>100794</v>
      </c>
      <c r="G49" s="379" t="s">
        <v>272</v>
      </c>
      <c r="H49" s="85"/>
    </row>
    <row r="50" spans="1:8" s="86" customFormat="1" x14ac:dyDescent="0.2">
      <c r="A50" s="88" t="s">
        <v>201</v>
      </c>
      <c r="B50" s="301">
        <v>0</v>
      </c>
      <c r="C50" s="312">
        <v>680000</v>
      </c>
      <c r="D50" s="312">
        <v>1200.2</v>
      </c>
      <c r="E50" s="84">
        <f t="shared" si="3"/>
        <v>0.17650000000000002</v>
      </c>
      <c r="F50" s="137">
        <v>100795</v>
      </c>
      <c r="G50" s="379" t="s">
        <v>273</v>
      </c>
      <c r="H50" s="85"/>
    </row>
    <row r="51" spans="1:8" s="86" customFormat="1" ht="13.5" thickBot="1" x14ac:dyDescent="0.25">
      <c r="A51" s="435" t="s">
        <v>274</v>
      </c>
      <c r="B51" s="299">
        <v>0</v>
      </c>
      <c r="C51" s="314">
        <v>4330428.26</v>
      </c>
      <c r="D51" s="314">
        <v>4038692.26</v>
      </c>
      <c r="E51" s="300">
        <f t="shared" si="3"/>
        <v>93.263114350727065</v>
      </c>
      <c r="F51" s="137">
        <v>100815</v>
      </c>
      <c r="G51" s="379" t="s">
        <v>271</v>
      </c>
      <c r="H51" s="85"/>
    </row>
    <row r="52" spans="1:8" s="86" customFormat="1" ht="13.5" thickTop="1" x14ac:dyDescent="0.2">
      <c r="A52" s="147"/>
      <c r="B52" s="89"/>
      <c r="C52" s="87"/>
      <c r="D52" s="87"/>
      <c r="E52" s="90"/>
      <c r="F52" s="137"/>
      <c r="G52" s="85"/>
      <c r="H52" s="85"/>
    </row>
    <row r="53" spans="1:8" ht="15.75" thickBot="1" x14ac:dyDescent="0.25">
      <c r="A53" s="95" t="s">
        <v>48</v>
      </c>
      <c r="D53" s="25"/>
      <c r="E53" s="75" t="s">
        <v>18</v>
      </c>
    </row>
    <row r="54" spans="1:8" ht="14.25" thickTop="1" thickBot="1" x14ac:dyDescent="0.25">
      <c r="A54" s="76" t="s">
        <v>5</v>
      </c>
      <c r="B54" s="77" t="s">
        <v>0</v>
      </c>
      <c r="C54" s="78" t="s">
        <v>1</v>
      </c>
      <c r="D54" s="79" t="s">
        <v>4</v>
      </c>
      <c r="E54" s="80" t="s">
        <v>6</v>
      </c>
    </row>
    <row r="55" spans="1:8" ht="15.75" thickTop="1" x14ac:dyDescent="0.2">
      <c r="A55" s="81" t="s">
        <v>7</v>
      </c>
      <c r="B55" s="82">
        <f>SUM(B56:B65)</f>
        <v>0</v>
      </c>
      <c r="C55" s="82">
        <f>SUM(C56:C65)</f>
        <v>3258000</v>
      </c>
      <c r="D55" s="82">
        <f>SUM(D56:D65)</f>
        <v>3258000</v>
      </c>
      <c r="E55" s="96">
        <f>D55/C55*100</f>
        <v>100</v>
      </c>
      <c r="F55" s="72"/>
    </row>
    <row r="56" spans="1:8" s="98" customFormat="1" x14ac:dyDescent="0.2">
      <c r="A56" s="392" t="s">
        <v>310</v>
      </c>
      <c r="B56" s="303">
        <v>0</v>
      </c>
      <c r="C56" s="303">
        <v>75000</v>
      </c>
      <c r="D56" s="303">
        <v>75000</v>
      </c>
      <c r="E56" s="84">
        <f t="shared" ref="E56:E65" si="4">D56/C56*100</f>
        <v>100</v>
      </c>
      <c r="F56" s="139">
        <v>1101</v>
      </c>
      <c r="G56" s="252" t="s">
        <v>108</v>
      </c>
      <c r="H56" s="97"/>
    </row>
    <row r="57" spans="1:8" s="113" customFormat="1" ht="25.5" x14ac:dyDescent="0.2">
      <c r="A57" s="88" t="s">
        <v>311</v>
      </c>
      <c r="B57" s="301">
        <v>0</v>
      </c>
      <c r="C57" s="301">
        <v>200000</v>
      </c>
      <c r="D57" s="301">
        <v>200000</v>
      </c>
      <c r="E57" s="84">
        <f t="shared" si="4"/>
        <v>100</v>
      </c>
      <c r="F57" s="152">
        <v>1102</v>
      </c>
      <c r="G57" s="252" t="s">
        <v>108</v>
      </c>
      <c r="H57" s="112"/>
    </row>
    <row r="58" spans="1:8" s="98" customFormat="1" x14ac:dyDescent="0.2">
      <c r="A58" s="392" t="s">
        <v>312</v>
      </c>
      <c r="B58" s="301">
        <v>0</v>
      </c>
      <c r="C58" s="301">
        <v>110000</v>
      </c>
      <c r="D58" s="301">
        <v>110000</v>
      </c>
      <c r="E58" s="84">
        <f t="shared" si="4"/>
        <v>100</v>
      </c>
      <c r="F58" s="139">
        <v>1109</v>
      </c>
      <c r="G58" s="252" t="s">
        <v>108</v>
      </c>
      <c r="H58" s="97"/>
    </row>
    <row r="59" spans="1:8" s="98" customFormat="1" ht="25.5" x14ac:dyDescent="0.2">
      <c r="A59" s="313" t="s">
        <v>313</v>
      </c>
      <c r="B59" s="301">
        <v>0</v>
      </c>
      <c r="C59" s="301">
        <v>100000</v>
      </c>
      <c r="D59" s="301">
        <v>100000</v>
      </c>
      <c r="E59" s="84">
        <f t="shared" si="4"/>
        <v>100</v>
      </c>
      <c r="F59" s="139">
        <v>1121</v>
      </c>
      <c r="G59" s="252" t="s">
        <v>108</v>
      </c>
      <c r="H59" s="97"/>
    </row>
    <row r="60" spans="1:8" s="98" customFormat="1" ht="25.5" x14ac:dyDescent="0.2">
      <c r="A60" s="313" t="s">
        <v>314</v>
      </c>
      <c r="B60" s="301">
        <v>0</v>
      </c>
      <c r="C60" s="301">
        <v>825000</v>
      </c>
      <c r="D60" s="301">
        <v>825000</v>
      </c>
      <c r="E60" s="84">
        <f t="shared" si="4"/>
        <v>100</v>
      </c>
      <c r="F60" s="139">
        <v>1218</v>
      </c>
      <c r="G60" s="252" t="s">
        <v>108</v>
      </c>
      <c r="H60" s="97"/>
    </row>
    <row r="61" spans="1:8" s="98" customFormat="1" x14ac:dyDescent="0.2">
      <c r="A61" s="392" t="s">
        <v>315</v>
      </c>
      <c r="B61" s="301">
        <v>0</v>
      </c>
      <c r="C61" s="301">
        <v>198000</v>
      </c>
      <c r="D61" s="301">
        <v>198000</v>
      </c>
      <c r="E61" s="84">
        <f t="shared" si="4"/>
        <v>100</v>
      </c>
      <c r="F61" s="139">
        <v>1350</v>
      </c>
      <c r="G61" s="252" t="s">
        <v>108</v>
      </c>
      <c r="H61" s="97"/>
    </row>
    <row r="62" spans="1:8" s="98" customFormat="1" x14ac:dyDescent="0.2">
      <c r="A62" s="392" t="s">
        <v>370</v>
      </c>
      <c r="B62" s="301">
        <v>0</v>
      </c>
      <c r="C62" s="301">
        <v>250000</v>
      </c>
      <c r="D62" s="301">
        <v>250000</v>
      </c>
      <c r="E62" s="84">
        <f t="shared" si="4"/>
        <v>100</v>
      </c>
      <c r="F62" s="139">
        <v>1032</v>
      </c>
      <c r="G62" s="252" t="s">
        <v>342</v>
      </c>
      <c r="H62" s="97"/>
    </row>
    <row r="63" spans="1:8" s="98" customFormat="1" ht="25.5" x14ac:dyDescent="0.2">
      <c r="A63" s="313" t="s">
        <v>371</v>
      </c>
      <c r="B63" s="301">
        <v>0</v>
      </c>
      <c r="C63" s="301">
        <v>600000</v>
      </c>
      <c r="D63" s="301">
        <v>600000</v>
      </c>
      <c r="E63" s="84">
        <f t="shared" si="4"/>
        <v>100</v>
      </c>
      <c r="F63" s="152">
        <v>1126</v>
      </c>
      <c r="G63" s="252" t="s">
        <v>342</v>
      </c>
      <c r="H63" s="97"/>
    </row>
    <row r="64" spans="1:8" s="98" customFormat="1" x14ac:dyDescent="0.2">
      <c r="A64" s="392" t="s">
        <v>372</v>
      </c>
      <c r="B64" s="301">
        <v>0</v>
      </c>
      <c r="C64" s="301">
        <v>700000</v>
      </c>
      <c r="D64" s="301">
        <v>700000</v>
      </c>
      <c r="E64" s="84">
        <f t="shared" si="4"/>
        <v>100</v>
      </c>
      <c r="F64" s="139">
        <v>1405</v>
      </c>
      <c r="G64" s="252" t="s">
        <v>342</v>
      </c>
      <c r="H64" s="97"/>
    </row>
    <row r="65" spans="1:11" s="98" customFormat="1" ht="13.5" thickBot="1" x14ac:dyDescent="0.25">
      <c r="A65" s="436" t="s">
        <v>360</v>
      </c>
      <c r="B65" s="299">
        <v>0</v>
      </c>
      <c r="C65" s="299">
        <v>200000</v>
      </c>
      <c r="D65" s="299">
        <v>200000</v>
      </c>
      <c r="E65" s="300">
        <f t="shared" si="4"/>
        <v>100</v>
      </c>
      <c r="F65" s="139">
        <v>1123</v>
      </c>
      <c r="G65" s="252" t="s">
        <v>342</v>
      </c>
      <c r="H65" s="97"/>
    </row>
    <row r="66" spans="1:11" s="98" customFormat="1" ht="13.5" thickTop="1" x14ac:dyDescent="0.2">
      <c r="A66" s="391"/>
      <c r="B66" s="240"/>
      <c r="C66" s="240"/>
      <c r="D66" s="240"/>
      <c r="E66" s="90"/>
      <c r="F66" s="139"/>
      <c r="G66" s="252"/>
      <c r="H66" s="97"/>
    </row>
    <row r="67" spans="1:11" ht="15" customHeight="1" thickBot="1" x14ac:dyDescent="0.3">
      <c r="A67" s="74" t="s">
        <v>75</v>
      </c>
      <c r="E67" s="75" t="s">
        <v>18</v>
      </c>
      <c r="F67" s="27"/>
      <c r="G67" s="155"/>
      <c r="H67" s="282" t="s">
        <v>109</v>
      </c>
      <c r="I67" s="283">
        <f>B69</f>
        <v>0</v>
      </c>
      <c r="J67" s="283">
        <f t="shared" ref="J67:K67" si="5">C69</f>
        <v>15000</v>
      </c>
      <c r="K67" s="283">
        <f t="shared" si="5"/>
        <v>8600</v>
      </c>
    </row>
    <row r="68" spans="1:11" ht="14.25" thickTop="1" thickBot="1" x14ac:dyDescent="0.25">
      <c r="A68" s="76" t="s">
        <v>5</v>
      </c>
      <c r="B68" s="77" t="s">
        <v>0</v>
      </c>
      <c r="C68" s="78" t="s">
        <v>1</v>
      </c>
      <c r="D68" s="79" t="s">
        <v>4</v>
      </c>
      <c r="E68" s="80" t="s">
        <v>6</v>
      </c>
      <c r="F68" s="27"/>
      <c r="G68" s="155"/>
      <c r="H68" s="246" t="s">
        <v>62</v>
      </c>
      <c r="I68" s="277">
        <f>SUM(B8:B14)</f>
        <v>79000</v>
      </c>
      <c r="J68" s="277">
        <f>SUM(C8:C14)</f>
        <v>2878882.69</v>
      </c>
      <c r="K68" s="277">
        <f>SUM(D8:D14)</f>
        <v>2784244.9</v>
      </c>
    </row>
    <row r="69" spans="1:11" s="133" customFormat="1" ht="15.75" thickTop="1" x14ac:dyDescent="0.2">
      <c r="A69" s="81" t="s">
        <v>7</v>
      </c>
      <c r="B69" s="82">
        <f>SUM(B70:B70)</f>
        <v>0</v>
      </c>
      <c r="C69" s="130">
        <f>SUM(C70:C70)</f>
        <v>15000</v>
      </c>
      <c r="D69" s="82">
        <f>SUM(D70:D70)</f>
        <v>8600</v>
      </c>
      <c r="E69" s="131">
        <f>D69/C69*100</f>
        <v>57.333333333333336</v>
      </c>
      <c r="F69" s="132" t="s">
        <v>2</v>
      </c>
      <c r="G69" s="156"/>
      <c r="H69" s="375" t="s">
        <v>169</v>
      </c>
      <c r="I69" s="378">
        <f>SUM(B15:B45)</f>
        <v>0</v>
      </c>
      <c r="J69" s="378">
        <f>SUM(C15:C45)</f>
        <v>98009131.039999992</v>
      </c>
      <c r="K69" s="378">
        <f>SUM(D15:D45)</f>
        <v>88513428.019999996</v>
      </c>
    </row>
    <row r="70" spans="1:11" s="133" customFormat="1" ht="13.5" thickBot="1" x14ac:dyDescent="0.25">
      <c r="A70" s="298" t="s">
        <v>361</v>
      </c>
      <c r="B70" s="299">
        <v>0</v>
      </c>
      <c r="C70" s="302">
        <v>15000</v>
      </c>
      <c r="D70" s="299">
        <v>8600</v>
      </c>
      <c r="E70" s="300">
        <f>D70/C70*100</f>
        <v>57.333333333333336</v>
      </c>
      <c r="F70" s="243"/>
      <c r="G70" s="363" t="s">
        <v>109</v>
      </c>
      <c r="H70" s="379" t="s">
        <v>110</v>
      </c>
      <c r="I70" s="403">
        <f>SUM(B46:B51)</f>
        <v>0</v>
      </c>
      <c r="J70" s="403">
        <f>SUM(C46:C51)</f>
        <v>30262242.359999999</v>
      </c>
      <c r="K70" s="403">
        <f>SUM(D46:D51)</f>
        <v>19050471.809999999</v>
      </c>
    </row>
    <row r="71" spans="1:11" s="133" customFormat="1" ht="15.75" thickTop="1" x14ac:dyDescent="0.25">
      <c r="A71" s="238"/>
      <c r="B71" s="89"/>
      <c r="C71" s="89"/>
      <c r="D71" s="240"/>
      <c r="E71" s="90"/>
      <c r="F71" s="243"/>
      <c r="G71" s="156"/>
      <c r="H71" s="15"/>
      <c r="I71" s="276"/>
      <c r="J71" s="276"/>
      <c r="K71" s="276"/>
    </row>
    <row r="72" spans="1:11" s="34" customFormat="1" ht="18.75" thickBot="1" x14ac:dyDescent="0.3">
      <c r="A72" s="100" t="s">
        <v>27</v>
      </c>
      <c r="B72" s="101">
        <f>SUM(B55,B7,B69)</f>
        <v>79000</v>
      </c>
      <c r="C72" s="101">
        <f>SUM(C55,C7,C69)</f>
        <v>134423256.08999997</v>
      </c>
      <c r="D72" s="101">
        <f>SUM(D55,D7,D69)</f>
        <v>113614744.73</v>
      </c>
      <c r="E72" s="102">
        <f>D72/C72*100</f>
        <v>84.520155243027205</v>
      </c>
      <c r="F72" s="169"/>
      <c r="G72" s="103"/>
      <c r="H72" s="103"/>
    </row>
    <row r="73" spans="1:11" ht="13.5" thickTop="1" x14ac:dyDescent="0.2">
      <c r="A73" s="99"/>
      <c r="B73" s="89"/>
      <c r="C73" s="93"/>
      <c r="D73" s="87"/>
      <c r="E73" s="90"/>
      <c r="F73" s="72"/>
    </row>
    <row r="74" spans="1:11" x14ac:dyDescent="0.2">
      <c r="A74" s="99"/>
      <c r="B74" s="89"/>
      <c r="C74" s="93"/>
      <c r="D74" s="87"/>
      <c r="E74" s="90"/>
      <c r="F74" s="72"/>
    </row>
    <row r="75" spans="1:11" ht="18" x14ac:dyDescent="0.25">
      <c r="A75" s="71" t="s">
        <v>45</v>
      </c>
    </row>
    <row r="76" spans="1:11" ht="15" customHeight="1" thickBot="1" x14ac:dyDescent="0.3">
      <c r="A76" s="74" t="s">
        <v>25</v>
      </c>
      <c r="E76" s="75" t="s">
        <v>18</v>
      </c>
    </row>
    <row r="77" spans="1:11" ht="14.25" thickTop="1" thickBot="1" x14ac:dyDescent="0.25">
      <c r="A77" s="76" t="s">
        <v>5</v>
      </c>
      <c r="B77" s="77" t="s">
        <v>0</v>
      </c>
      <c r="C77" s="78" t="s">
        <v>1</v>
      </c>
      <c r="D77" s="79" t="s">
        <v>4</v>
      </c>
      <c r="E77" s="80" t="s">
        <v>6</v>
      </c>
    </row>
    <row r="78" spans="1:11" ht="15.75" thickTop="1" x14ac:dyDescent="0.25">
      <c r="A78" s="81" t="s">
        <v>9</v>
      </c>
      <c r="B78" s="82">
        <f>SUM(B79:B114)</f>
        <v>27171000</v>
      </c>
      <c r="C78" s="82">
        <f t="shared" ref="C78:D78" si="6">SUM(C79:C114)</f>
        <v>118973912.58000001</v>
      </c>
      <c r="D78" s="82">
        <f t="shared" si="6"/>
        <v>104703660.55</v>
      </c>
      <c r="E78" s="83">
        <f>D78/C78*100</f>
        <v>88.005562126567483</v>
      </c>
      <c r="F78" s="140"/>
    </row>
    <row r="79" spans="1:11" s="70" customFormat="1" x14ac:dyDescent="0.2">
      <c r="A79" s="88" t="s">
        <v>215</v>
      </c>
      <c r="B79" s="111">
        <v>200000</v>
      </c>
      <c r="C79" s="311">
        <v>234861</v>
      </c>
      <c r="D79" s="312">
        <v>234861</v>
      </c>
      <c r="E79" s="84">
        <f t="shared" ref="E79:E82" si="7">D79/C79*100</f>
        <v>100</v>
      </c>
      <c r="F79" s="248" t="s">
        <v>214</v>
      </c>
      <c r="G79" s="246" t="s">
        <v>62</v>
      </c>
      <c r="H79" s="65"/>
    </row>
    <row r="80" spans="1:11" s="70" customFormat="1" x14ac:dyDescent="0.2">
      <c r="A80" s="437" t="s">
        <v>378</v>
      </c>
      <c r="B80" s="111">
        <v>0</v>
      </c>
      <c r="C80" s="311">
        <v>24677</v>
      </c>
      <c r="D80" s="312">
        <v>24677</v>
      </c>
      <c r="E80" s="84">
        <f t="shared" si="7"/>
        <v>100</v>
      </c>
      <c r="F80" s="248" t="s">
        <v>216</v>
      </c>
      <c r="G80" s="246" t="s">
        <v>62</v>
      </c>
      <c r="H80" s="65"/>
    </row>
    <row r="81" spans="1:8" s="70" customFormat="1" x14ac:dyDescent="0.2">
      <c r="A81" s="437" t="s">
        <v>218</v>
      </c>
      <c r="B81" s="111">
        <v>0</v>
      </c>
      <c r="C81" s="311">
        <v>129000</v>
      </c>
      <c r="D81" s="312">
        <v>49190</v>
      </c>
      <c r="E81" s="84">
        <f t="shared" si="7"/>
        <v>38.13178294573644</v>
      </c>
      <c r="F81" s="248" t="s">
        <v>217</v>
      </c>
      <c r="G81" s="246" t="s">
        <v>62</v>
      </c>
      <c r="H81" s="65"/>
    </row>
    <row r="82" spans="1:8" s="144" customFormat="1" ht="25.5" x14ac:dyDescent="0.2">
      <c r="A82" s="308" t="s">
        <v>175</v>
      </c>
      <c r="B82" s="111">
        <v>10872000</v>
      </c>
      <c r="C82" s="311">
        <v>14401166</v>
      </c>
      <c r="D82" s="312">
        <v>14322825.199999999</v>
      </c>
      <c r="E82" s="84">
        <f t="shared" si="7"/>
        <v>99.456010714687963</v>
      </c>
      <c r="F82" s="150" t="s">
        <v>49</v>
      </c>
      <c r="G82" s="246" t="s">
        <v>62</v>
      </c>
      <c r="H82" s="143"/>
    </row>
    <row r="83" spans="1:8" s="70" customFormat="1" x14ac:dyDescent="0.2">
      <c r="A83" s="392" t="s">
        <v>77</v>
      </c>
      <c r="B83" s="111">
        <v>11240000</v>
      </c>
      <c r="C83" s="311">
        <v>45082923.390000001</v>
      </c>
      <c r="D83" s="312">
        <v>44655210.009999998</v>
      </c>
      <c r="E83" s="84">
        <f t="shared" ref="E83:E114" si="8">D83/C83*100</f>
        <v>99.051274079322738</v>
      </c>
      <c r="F83" s="248" t="s">
        <v>50</v>
      </c>
      <c r="G83" s="246" t="s">
        <v>62</v>
      </c>
      <c r="H83" s="65"/>
    </row>
    <row r="84" spans="1:8" s="70" customFormat="1" x14ac:dyDescent="0.2">
      <c r="A84" s="313" t="s">
        <v>161</v>
      </c>
      <c r="B84" s="111">
        <v>0</v>
      </c>
      <c r="C84" s="311">
        <v>9905753</v>
      </c>
      <c r="D84" s="312">
        <v>9905753</v>
      </c>
      <c r="E84" s="84">
        <f t="shared" si="8"/>
        <v>100</v>
      </c>
      <c r="F84" s="248" t="s">
        <v>219</v>
      </c>
      <c r="G84" s="246" t="s">
        <v>62</v>
      </c>
      <c r="H84" s="65"/>
    </row>
    <row r="85" spans="1:8" s="70" customFormat="1" x14ac:dyDescent="0.2">
      <c r="A85" s="313" t="s">
        <v>368</v>
      </c>
      <c r="B85" s="111">
        <v>0</v>
      </c>
      <c r="C85" s="311">
        <v>1000</v>
      </c>
      <c r="D85" s="312">
        <v>1000</v>
      </c>
      <c r="E85" s="84">
        <f t="shared" si="8"/>
        <v>100</v>
      </c>
      <c r="F85" s="248" t="s">
        <v>220</v>
      </c>
      <c r="G85" s="246" t="s">
        <v>62</v>
      </c>
      <c r="H85" s="65"/>
    </row>
    <row r="86" spans="1:8" s="70" customFormat="1" ht="12.75" customHeight="1" x14ac:dyDescent="0.2">
      <c r="A86" s="313" t="s">
        <v>369</v>
      </c>
      <c r="B86" s="111">
        <v>0</v>
      </c>
      <c r="C86" s="311">
        <v>2000</v>
      </c>
      <c r="D86" s="312">
        <v>2000</v>
      </c>
      <c r="E86" s="84">
        <f t="shared" si="8"/>
        <v>100</v>
      </c>
      <c r="F86" s="248" t="s">
        <v>221</v>
      </c>
      <c r="G86" s="246" t="s">
        <v>62</v>
      </c>
      <c r="H86" s="65"/>
    </row>
    <row r="87" spans="1:8" s="70" customFormat="1" x14ac:dyDescent="0.2">
      <c r="A87" s="313" t="s">
        <v>69</v>
      </c>
      <c r="B87" s="111">
        <v>0</v>
      </c>
      <c r="C87" s="311">
        <v>500</v>
      </c>
      <c r="D87" s="312">
        <v>500</v>
      </c>
      <c r="E87" s="84">
        <f t="shared" si="8"/>
        <v>100</v>
      </c>
      <c r="F87" s="248" t="s">
        <v>222</v>
      </c>
      <c r="G87" s="246" t="s">
        <v>62</v>
      </c>
      <c r="H87" s="65"/>
    </row>
    <row r="88" spans="1:8" s="70" customFormat="1" x14ac:dyDescent="0.2">
      <c r="A88" s="313" t="s">
        <v>379</v>
      </c>
      <c r="B88" s="111">
        <v>0</v>
      </c>
      <c r="C88" s="311">
        <v>250000</v>
      </c>
      <c r="D88" s="312">
        <v>4500</v>
      </c>
      <c r="E88" s="84">
        <f t="shared" si="8"/>
        <v>1.7999999999999998</v>
      </c>
      <c r="F88" s="248" t="s">
        <v>223</v>
      </c>
      <c r="G88" s="246" t="s">
        <v>62</v>
      </c>
      <c r="H88" s="65"/>
    </row>
    <row r="89" spans="1:8" s="70" customFormat="1" x14ac:dyDescent="0.2">
      <c r="A89" s="313" t="s">
        <v>367</v>
      </c>
      <c r="B89" s="111">
        <v>0</v>
      </c>
      <c r="C89" s="311">
        <v>104152</v>
      </c>
      <c r="D89" s="312">
        <v>86782</v>
      </c>
      <c r="E89" s="84">
        <f t="shared" si="8"/>
        <v>83.322451801213617</v>
      </c>
      <c r="F89" s="248" t="s">
        <v>224</v>
      </c>
      <c r="G89" s="246" t="s">
        <v>62</v>
      </c>
      <c r="H89" s="65"/>
    </row>
    <row r="90" spans="1:8" s="70" customFormat="1" x14ac:dyDescent="0.2">
      <c r="A90" s="313" t="s">
        <v>380</v>
      </c>
      <c r="B90" s="111">
        <v>0</v>
      </c>
      <c r="C90" s="311">
        <v>33402</v>
      </c>
      <c r="D90" s="312">
        <v>33402</v>
      </c>
      <c r="E90" s="84">
        <f t="shared" si="8"/>
        <v>100</v>
      </c>
      <c r="F90" s="248" t="s">
        <v>225</v>
      </c>
      <c r="G90" s="246" t="s">
        <v>62</v>
      </c>
      <c r="H90" s="65"/>
    </row>
    <row r="91" spans="1:8" s="70" customFormat="1" x14ac:dyDescent="0.2">
      <c r="A91" s="313" t="s">
        <v>381</v>
      </c>
      <c r="B91" s="111">
        <v>0</v>
      </c>
      <c r="C91" s="311">
        <v>6993993.1200000001</v>
      </c>
      <c r="D91" s="312">
        <v>6993993.1200000001</v>
      </c>
      <c r="E91" s="84">
        <f t="shared" si="8"/>
        <v>100</v>
      </c>
      <c r="F91" s="248" t="s">
        <v>174</v>
      </c>
      <c r="G91" s="246" t="s">
        <v>62</v>
      </c>
      <c r="H91" s="65"/>
    </row>
    <row r="92" spans="1:8" s="70" customFormat="1" ht="25.5" x14ac:dyDescent="0.2">
      <c r="A92" s="313" t="s">
        <v>366</v>
      </c>
      <c r="B92" s="111">
        <v>0</v>
      </c>
      <c r="C92" s="311">
        <v>2000</v>
      </c>
      <c r="D92" s="312">
        <v>1996</v>
      </c>
      <c r="E92" s="84">
        <f t="shared" si="8"/>
        <v>99.8</v>
      </c>
      <c r="F92" s="249" t="s">
        <v>226</v>
      </c>
      <c r="G92" s="246" t="s">
        <v>62</v>
      </c>
      <c r="H92" s="65"/>
    </row>
    <row r="93" spans="1:8" s="70" customFormat="1" x14ac:dyDescent="0.2">
      <c r="A93" s="313" t="s">
        <v>382</v>
      </c>
      <c r="B93" s="111">
        <v>1100000</v>
      </c>
      <c r="C93" s="311">
        <v>445686</v>
      </c>
      <c r="D93" s="312">
        <v>445686</v>
      </c>
      <c r="E93" s="84">
        <f t="shared" si="8"/>
        <v>100</v>
      </c>
      <c r="F93" s="249" t="s">
        <v>227</v>
      </c>
      <c r="G93" s="246" t="s">
        <v>62</v>
      </c>
      <c r="H93" s="65"/>
    </row>
    <row r="94" spans="1:8" s="70" customFormat="1" x14ac:dyDescent="0.2">
      <c r="A94" s="313" t="s">
        <v>383</v>
      </c>
      <c r="B94" s="111">
        <v>0</v>
      </c>
      <c r="C94" s="311">
        <v>59895</v>
      </c>
      <c r="D94" s="312">
        <v>59895</v>
      </c>
      <c r="E94" s="84">
        <f t="shared" si="8"/>
        <v>100</v>
      </c>
      <c r="F94" s="248" t="s">
        <v>228</v>
      </c>
      <c r="G94" s="246" t="s">
        <v>62</v>
      </c>
      <c r="H94" s="65"/>
    </row>
    <row r="95" spans="1:8" s="70" customFormat="1" x14ac:dyDescent="0.2">
      <c r="A95" s="313" t="s">
        <v>384</v>
      </c>
      <c r="B95" s="111">
        <v>0</v>
      </c>
      <c r="C95" s="311">
        <v>59895</v>
      </c>
      <c r="D95" s="312">
        <v>59895</v>
      </c>
      <c r="E95" s="84">
        <f t="shared" si="8"/>
        <v>100</v>
      </c>
      <c r="F95" s="248" t="s">
        <v>229</v>
      </c>
      <c r="G95" s="246" t="s">
        <v>62</v>
      </c>
      <c r="H95" s="65"/>
    </row>
    <row r="96" spans="1:8" s="70" customFormat="1" x14ac:dyDescent="0.2">
      <c r="A96" s="313" t="s">
        <v>385</v>
      </c>
      <c r="B96" s="111">
        <v>0</v>
      </c>
      <c r="C96" s="311">
        <v>76230</v>
      </c>
      <c r="D96" s="312">
        <v>0</v>
      </c>
      <c r="E96" s="84">
        <f t="shared" si="8"/>
        <v>0</v>
      </c>
      <c r="F96" s="248" t="s">
        <v>230</v>
      </c>
      <c r="G96" s="246" t="s">
        <v>62</v>
      </c>
      <c r="H96" s="65"/>
    </row>
    <row r="97" spans="1:11" s="70" customFormat="1" x14ac:dyDescent="0.2">
      <c r="A97" s="313" t="s">
        <v>386</v>
      </c>
      <c r="B97" s="111">
        <v>0</v>
      </c>
      <c r="C97" s="311">
        <v>178175</v>
      </c>
      <c r="D97" s="312">
        <v>29524</v>
      </c>
      <c r="E97" s="84">
        <f t="shared" si="8"/>
        <v>16.570225901501335</v>
      </c>
      <c r="F97" s="248" t="s">
        <v>231</v>
      </c>
      <c r="G97" s="246" t="s">
        <v>62</v>
      </c>
      <c r="H97" s="65"/>
    </row>
    <row r="98" spans="1:11" s="70" customFormat="1" x14ac:dyDescent="0.2">
      <c r="A98" s="313" t="s">
        <v>387</v>
      </c>
      <c r="B98" s="111">
        <v>0</v>
      </c>
      <c r="C98" s="311">
        <v>350000</v>
      </c>
      <c r="D98" s="312">
        <v>7018</v>
      </c>
      <c r="E98" s="84">
        <f t="shared" si="8"/>
        <v>2.0051428571428569</v>
      </c>
      <c r="F98" s="248" t="s">
        <v>232</v>
      </c>
      <c r="G98" s="246" t="s">
        <v>62</v>
      </c>
      <c r="H98" s="65"/>
    </row>
    <row r="99" spans="1:11" s="70" customFormat="1" x14ac:dyDescent="0.2">
      <c r="A99" s="313" t="s">
        <v>234</v>
      </c>
      <c r="B99" s="111">
        <v>0</v>
      </c>
      <c r="C99" s="311">
        <v>100000</v>
      </c>
      <c r="D99" s="312">
        <v>56000</v>
      </c>
      <c r="E99" s="84">
        <f t="shared" si="8"/>
        <v>56.000000000000007</v>
      </c>
      <c r="F99" s="248" t="s">
        <v>233</v>
      </c>
      <c r="G99" s="246" t="s">
        <v>62</v>
      </c>
      <c r="H99" s="65"/>
    </row>
    <row r="100" spans="1:11" s="70" customFormat="1" x14ac:dyDescent="0.2">
      <c r="A100" s="313" t="s">
        <v>236</v>
      </c>
      <c r="B100" s="111">
        <v>0</v>
      </c>
      <c r="C100" s="311">
        <v>25652</v>
      </c>
      <c r="D100" s="312">
        <v>25652</v>
      </c>
      <c r="E100" s="84">
        <f t="shared" si="8"/>
        <v>100</v>
      </c>
      <c r="F100" s="248" t="s">
        <v>235</v>
      </c>
      <c r="G100" s="246" t="s">
        <v>62</v>
      </c>
      <c r="H100" s="65"/>
    </row>
    <row r="101" spans="1:11" s="70" customFormat="1" x14ac:dyDescent="0.2">
      <c r="A101" s="313" t="s">
        <v>388</v>
      </c>
      <c r="B101" s="111">
        <v>0</v>
      </c>
      <c r="C101" s="311">
        <v>200000</v>
      </c>
      <c r="D101" s="312">
        <v>0</v>
      </c>
      <c r="E101" s="84">
        <f t="shared" si="8"/>
        <v>0</v>
      </c>
      <c r="F101" s="248" t="s">
        <v>237</v>
      </c>
      <c r="G101" s="246" t="s">
        <v>62</v>
      </c>
      <c r="H101" s="65"/>
    </row>
    <row r="102" spans="1:11" s="53" customFormat="1" ht="25.5" x14ac:dyDescent="0.2">
      <c r="A102" s="313" t="s">
        <v>114</v>
      </c>
      <c r="B102" s="111">
        <v>0</v>
      </c>
      <c r="C102" s="311">
        <v>790449.2</v>
      </c>
      <c r="D102" s="312">
        <v>790301.36</v>
      </c>
      <c r="E102" s="84">
        <f t="shared" si="8"/>
        <v>99.981296710781677</v>
      </c>
      <c r="F102" s="150" t="s">
        <v>61</v>
      </c>
      <c r="G102" s="369" t="s">
        <v>252</v>
      </c>
      <c r="H102" s="355" t="s">
        <v>62</v>
      </c>
      <c r="I102" s="356">
        <f>SUM(B79:B101)</f>
        <v>23412000</v>
      </c>
      <c r="J102" s="356">
        <f t="shared" ref="J102:K102" si="9">SUM(C79:C101)</f>
        <v>78660960.510000005</v>
      </c>
      <c r="K102" s="356">
        <f t="shared" si="9"/>
        <v>77000359.329999998</v>
      </c>
    </row>
    <row r="103" spans="1:11" s="70" customFormat="1" x14ac:dyDescent="0.2">
      <c r="A103" s="438" t="s">
        <v>115</v>
      </c>
      <c r="B103" s="111">
        <v>0</v>
      </c>
      <c r="C103" s="311">
        <v>9398087.1300000008</v>
      </c>
      <c r="D103" s="312">
        <v>4230127.28</v>
      </c>
      <c r="E103" s="84">
        <f t="shared" si="8"/>
        <v>45.010513538407679</v>
      </c>
      <c r="F103" s="248" t="s">
        <v>111</v>
      </c>
      <c r="G103" s="369" t="s">
        <v>250</v>
      </c>
      <c r="H103" s="377" t="s">
        <v>169</v>
      </c>
      <c r="I103" s="378">
        <f>SUM(B102:B107)</f>
        <v>0</v>
      </c>
      <c r="J103" s="378">
        <f t="shared" ref="J103:K103" si="10">SUM(C102:C107)</f>
        <v>21798364.289999999</v>
      </c>
      <c r="K103" s="378">
        <f t="shared" si="10"/>
        <v>16460128.689999999</v>
      </c>
    </row>
    <row r="104" spans="1:11" s="70" customFormat="1" x14ac:dyDescent="0.2">
      <c r="A104" s="439" t="s">
        <v>116</v>
      </c>
      <c r="B104" s="111">
        <v>0</v>
      </c>
      <c r="C104" s="311">
        <v>3566734.15</v>
      </c>
      <c r="D104" s="312">
        <v>3541699.94</v>
      </c>
      <c r="E104" s="84">
        <f t="shared" si="8"/>
        <v>99.298119541654088</v>
      </c>
      <c r="F104" s="248" t="s">
        <v>112</v>
      </c>
      <c r="G104" s="369" t="s">
        <v>250</v>
      </c>
      <c r="H104" s="409" t="s">
        <v>110</v>
      </c>
      <c r="I104" s="408">
        <f>SUM(B108:B114)</f>
        <v>3759000</v>
      </c>
      <c r="J104" s="408">
        <f t="shared" ref="J104:K104" si="11">SUM(C108:C114)</f>
        <v>18514587.780000001</v>
      </c>
      <c r="K104" s="408">
        <f t="shared" si="11"/>
        <v>11243172.530000001</v>
      </c>
    </row>
    <row r="105" spans="1:11" s="70" customFormat="1" ht="25.5" x14ac:dyDescent="0.2">
      <c r="A105" s="313" t="s">
        <v>117</v>
      </c>
      <c r="B105" s="111">
        <v>0</v>
      </c>
      <c r="C105" s="311">
        <v>7645053.8099999996</v>
      </c>
      <c r="D105" s="312">
        <v>7639185.5099999998</v>
      </c>
      <c r="E105" s="84">
        <f t="shared" si="8"/>
        <v>99.923240566438864</v>
      </c>
      <c r="F105" s="249" t="s">
        <v>113</v>
      </c>
      <c r="G105" s="369" t="s">
        <v>250</v>
      </c>
      <c r="H105" s="252" t="s">
        <v>82</v>
      </c>
      <c r="I105" s="278">
        <f>B118</f>
        <v>0</v>
      </c>
      <c r="J105" s="278">
        <f t="shared" ref="J105:K105" si="12">C118</f>
        <v>2762950</v>
      </c>
      <c r="K105" s="278">
        <f t="shared" si="12"/>
        <v>2762950</v>
      </c>
    </row>
    <row r="106" spans="1:11" s="53" customFormat="1" ht="15" x14ac:dyDescent="0.25">
      <c r="A106" s="313" t="s">
        <v>265</v>
      </c>
      <c r="B106" s="111">
        <v>0</v>
      </c>
      <c r="C106" s="311">
        <v>209540</v>
      </c>
      <c r="D106" s="312">
        <v>183266.6</v>
      </c>
      <c r="E106" s="84">
        <f t="shared" si="8"/>
        <v>87.461391619738478</v>
      </c>
      <c r="F106" s="250" t="s">
        <v>264</v>
      </c>
      <c r="G106" s="369" t="s">
        <v>250</v>
      </c>
      <c r="H106" s="73"/>
      <c r="I106" s="276">
        <f>SUM(I102:I105)</f>
        <v>27171000</v>
      </c>
      <c r="J106" s="276">
        <f t="shared" ref="J106:K106" si="13">SUM(J102:J105)</f>
        <v>121736862.58000001</v>
      </c>
      <c r="K106" s="276">
        <f t="shared" si="13"/>
        <v>107466610.55</v>
      </c>
    </row>
    <row r="107" spans="1:11" s="53" customFormat="1" x14ac:dyDescent="0.2">
      <c r="A107" s="313" t="s">
        <v>267</v>
      </c>
      <c r="B107" s="111">
        <v>0</v>
      </c>
      <c r="C107" s="311">
        <v>188500</v>
      </c>
      <c r="D107" s="312">
        <v>75548</v>
      </c>
      <c r="E107" s="84">
        <f t="shared" si="8"/>
        <v>40.078514588859413</v>
      </c>
      <c r="F107" s="250" t="s">
        <v>266</v>
      </c>
      <c r="G107" s="369" t="s">
        <v>250</v>
      </c>
      <c r="H107" s="73"/>
    </row>
    <row r="108" spans="1:11" s="53" customFormat="1" x14ac:dyDescent="0.2">
      <c r="A108" s="313" t="s">
        <v>194</v>
      </c>
      <c r="B108" s="301">
        <v>3759000</v>
      </c>
      <c r="C108" s="312">
        <v>6021750.3899999997</v>
      </c>
      <c r="D108" s="312">
        <v>5667131.4100000001</v>
      </c>
      <c r="E108" s="84">
        <f t="shared" si="8"/>
        <v>94.111031560044466</v>
      </c>
      <c r="F108" s="250" t="s">
        <v>193</v>
      </c>
      <c r="G108" s="379" t="s">
        <v>195</v>
      </c>
      <c r="H108" s="73"/>
    </row>
    <row r="109" spans="1:11" s="53" customFormat="1" x14ac:dyDescent="0.2">
      <c r="A109" s="313" t="s">
        <v>389</v>
      </c>
      <c r="B109" s="301">
        <v>0</v>
      </c>
      <c r="C109" s="312">
        <v>3830201</v>
      </c>
      <c r="D109" s="312">
        <v>1539892.17</v>
      </c>
      <c r="E109" s="84">
        <f t="shared" si="8"/>
        <v>40.203951959701328</v>
      </c>
      <c r="F109" s="250" t="s">
        <v>275</v>
      </c>
      <c r="G109" s="379" t="s">
        <v>195</v>
      </c>
      <c r="H109" s="73"/>
    </row>
    <row r="110" spans="1:11" s="53" customFormat="1" x14ac:dyDescent="0.2">
      <c r="A110" s="313" t="s">
        <v>277</v>
      </c>
      <c r="B110" s="301">
        <v>0</v>
      </c>
      <c r="C110" s="312">
        <v>2756557</v>
      </c>
      <c r="D110" s="312">
        <v>1058817.3600000001</v>
      </c>
      <c r="E110" s="84">
        <f t="shared" si="8"/>
        <v>38.410863987213041</v>
      </c>
      <c r="F110" s="250" t="s">
        <v>276</v>
      </c>
      <c r="G110" s="379" t="s">
        <v>195</v>
      </c>
      <c r="H110" s="73"/>
    </row>
    <row r="111" spans="1:11" s="53" customFormat="1" x14ac:dyDescent="0.2">
      <c r="A111" s="313" t="s">
        <v>158</v>
      </c>
      <c r="B111" s="301">
        <v>0</v>
      </c>
      <c r="C111" s="312">
        <v>2119106</v>
      </c>
      <c r="D111" s="312">
        <v>2070606</v>
      </c>
      <c r="E111" s="84">
        <f t="shared" si="8"/>
        <v>97.711299010054248</v>
      </c>
      <c r="F111" s="250" t="s">
        <v>278</v>
      </c>
      <c r="G111" s="379" t="s">
        <v>279</v>
      </c>
      <c r="H111" s="73"/>
    </row>
    <row r="112" spans="1:11" s="53" customFormat="1" x14ac:dyDescent="0.2">
      <c r="A112" s="313" t="s">
        <v>191</v>
      </c>
      <c r="B112" s="301">
        <v>0</v>
      </c>
      <c r="C112" s="312">
        <v>1302529.3899999999</v>
      </c>
      <c r="D112" s="312">
        <v>631672.81000000006</v>
      </c>
      <c r="E112" s="84">
        <f t="shared" si="8"/>
        <v>48.495858508037202</v>
      </c>
      <c r="F112" s="250" t="s">
        <v>192</v>
      </c>
      <c r="G112" s="379" t="s">
        <v>195</v>
      </c>
      <c r="H112" s="73"/>
    </row>
    <row r="113" spans="1:8" s="53" customFormat="1" ht="25.5" x14ac:dyDescent="0.2">
      <c r="A113" s="313" t="s">
        <v>281</v>
      </c>
      <c r="B113" s="301">
        <v>0</v>
      </c>
      <c r="C113" s="312">
        <v>2025000</v>
      </c>
      <c r="D113" s="312">
        <v>173030.78</v>
      </c>
      <c r="E113" s="84">
        <f t="shared" si="8"/>
        <v>8.5447298765432098</v>
      </c>
      <c r="F113" s="250" t="s">
        <v>280</v>
      </c>
      <c r="G113" s="379" t="s">
        <v>195</v>
      </c>
      <c r="H113" s="73"/>
    </row>
    <row r="114" spans="1:8" s="53" customFormat="1" ht="13.5" thickBot="1" x14ac:dyDescent="0.25">
      <c r="A114" s="440" t="s">
        <v>390</v>
      </c>
      <c r="B114" s="299">
        <v>0</v>
      </c>
      <c r="C114" s="314">
        <v>459444</v>
      </c>
      <c r="D114" s="314">
        <v>102022</v>
      </c>
      <c r="E114" s="300">
        <f t="shared" si="8"/>
        <v>22.205535386249466</v>
      </c>
      <c r="F114" s="250" t="s">
        <v>282</v>
      </c>
      <c r="G114" s="379" t="s">
        <v>195</v>
      </c>
      <c r="H114" s="73"/>
    </row>
    <row r="115" spans="1:8" s="92" customFormat="1" ht="15.75" thickTop="1" x14ac:dyDescent="0.25">
      <c r="A115" s="74"/>
      <c r="B115" s="27"/>
      <c r="C115" s="27"/>
      <c r="D115" s="25"/>
      <c r="E115" s="75"/>
      <c r="F115" s="145"/>
      <c r="G115" s="91"/>
      <c r="H115" s="91"/>
    </row>
    <row r="116" spans="1:8" s="92" customFormat="1" ht="15.75" thickBot="1" x14ac:dyDescent="0.25">
      <c r="A116" s="95" t="s">
        <v>48</v>
      </c>
      <c r="B116" s="27"/>
      <c r="C116" s="27"/>
      <c r="D116" s="27"/>
      <c r="E116" s="75" t="s">
        <v>18</v>
      </c>
      <c r="F116" s="145"/>
      <c r="G116" s="91"/>
      <c r="H116" s="91"/>
    </row>
    <row r="117" spans="1:8" s="92" customFormat="1" ht="14.25" thickTop="1" thickBot="1" x14ac:dyDescent="0.25">
      <c r="A117" s="76" t="s">
        <v>5</v>
      </c>
      <c r="B117" s="77" t="s">
        <v>0</v>
      </c>
      <c r="C117" s="78" t="s">
        <v>1</v>
      </c>
      <c r="D117" s="79" t="s">
        <v>4</v>
      </c>
      <c r="E117" s="80" t="s">
        <v>6</v>
      </c>
      <c r="F117" s="145"/>
      <c r="G117" s="91"/>
      <c r="H117" s="91"/>
    </row>
    <row r="118" spans="1:8" s="92" customFormat="1" ht="15.75" thickTop="1" x14ac:dyDescent="0.2">
      <c r="A118" s="386" t="s">
        <v>9</v>
      </c>
      <c r="B118" s="237">
        <f>SUM(B119:B121)</f>
        <v>0</v>
      </c>
      <c r="C118" s="237">
        <f>SUM(C119:C121)</f>
        <v>2762950</v>
      </c>
      <c r="D118" s="237">
        <f>SUM(D119:D121)</f>
        <v>2762950</v>
      </c>
      <c r="E118" s="387">
        <f t="shared" ref="E118:E121" si="14">D118/C118*100</f>
        <v>100</v>
      </c>
      <c r="F118" s="145"/>
      <c r="G118" s="252" t="s">
        <v>82</v>
      </c>
      <c r="H118" s="91"/>
    </row>
    <row r="119" spans="1:8" s="92" customFormat="1" ht="25.5" x14ac:dyDescent="0.2">
      <c r="A119" s="308" t="s">
        <v>307</v>
      </c>
      <c r="B119" s="297">
        <v>0</v>
      </c>
      <c r="C119" s="304">
        <v>1400000</v>
      </c>
      <c r="D119" s="304">
        <v>1400000</v>
      </c>
      <c r="E119" s="84">
        <f t="shared" si="14"/>
        <v>100</v>
      </c>
      <c r="F119" s="145"/>
      <c r="G119" s="252" t="s">
        <v>82</v>
      </c>
      <c r="H119" s="91"/>
    </row>
    <row r="120" spans="1:8" s="92" customFormat="1" ht="25.5" x14ac:dyDescent="0.2">
      <c r="A120" s="308" t="s">
        <v>308</v>
      </c>
      <c r="B120" s="297">
        <v>0</v>
      </c>
      <c r="C120" s="304">
        <v>700000</v>
      </c>
      <c r="D120" s="304">
        <v>700000</v>
      </c>
      <c r="E120" s="84">
        <f t="shared" si="14"/>
        <v>100</v>
      </c>
      <c r="F120" s="145"/>
      <c r="G120" s="252" t="s">
        <v>82</v>
      </c>
      <c r="H120" s="91"/>
    </row>
    <row r="121" spans="1:8" s="92" customFormat="1" ht="26.25" thickBot="1" x14ac:dyDescent="0.25">
      <c r="A121" s="435" t="s">
        <v>309</v>
      </c>
      <c r="B121" s="329">
        <v>0</v>
      </c>
      <c r="C121" s="388">
        <v>662950</v>
      </c>
      <c r="D121" s="388">
        <v>662950</v>
      </c>
      <c r="E121" s="300">
        <f t="shared" si="14"/>
        <v>100</v>
      </c>
      <c r="F121" s="145"/>
      <c r="G121" s="252" t="s">
        <v>82</v>
      </c>
      <c r="H121" s="91"/>
    </row>
    <row r="122" spans="1:8" s="92" customFormat="1" ht="15.75" thickTop="1" x14ac:dyDescent="0.25">
      <c r="A122" s="74"/>
      <c r="B122" s="27"/>
      <c r="C122" s="27"/>
      <c r="D122" s="25"/>
      <c r="E122" s="75"/>
      <c r="F122" s="145"/>
      <c r="G122" s="91"/>
      <c r="H122" s="91"/>
    </row>
    <row r="123" spans="1:8" s="34" customFormat="1" ht="18.75" thickBot="1" x14ac:dyDescent="0.3">
      <c r="A123" s="100" t="s">
        <v>28</v>
      </c>
      <c r="B123" s="101">
        <f>SUM(B78,B118)</f>
        <v>27171000</v>
      </c>
      <c r="C123" s="101">
        <f>SUM(C78,C118)</f>
        <v>121736862.58000001</v>
      </c>
      <c r="D123" s="101">
        <f>SUM(D78,D118)</f>
        <v>107466610.55</v>
      </c>
      <c r="E123" s="102">
        <f>D123/C123*100</f>
        <v>88.277788890261363</v>
      </c>
      <c r="F123" s="64"/>
      <c r="G123" s="103"/>
      <c r="H123" s="103"/>
    </row>
    <row r="124" spans="1:8" s="35" customFormat="1" ht="13.5" thickTop="1" x14ac:dyDescent="0.2">
      <c r="E124" s="90"/>
      <c r="F124" s="138"/>
      <c r="G124" s="94"/>
      <c r="H124" s="94"/>
    </row>
    <row r="125" spans="1:8" s="35" customFormat="1" x14ac:dyDescent="0.2">
      <c r="E125" s="90"/>
      <c r="F125" s="138"/>
      <c r="G125" s="94"/>
      <c r="H125" s="94"/>
    </row>
    <row r="126" spans="1:8" s="35" customFormat="1" x14ac:dyDescent="0.2">
      <c r="E126" s="90"/>
      <c r="F126" s="138"/>
      <c r="G126" s="94"/>
      <c r="H126" s="94"/>
    </row>
    <row r="127" spans="1:8" ht="15" customHeight="1" x14ac:dyDescent="0.25">
      <c r="A127" s="71" t="s">
        <v>47</v>
      </c>
    </row>
    <row r="128" spans="1:8" ht="15" customHeight="1" thickBot="1" x14ac:dyDescent="0.3">
      <c r="A128" s="74" t="s">
        <v>25</v>
      </c>
      <c r="E128" s="75" t="s">
        <v>18</v>
      </c>
    </row>
    <row r="129" spans="1:8" ht="14.25" thickTop="1" thickBot="1" x14ac:dyDescent="0.25">
      <c r="A129" s="76" t="s">
        <v>5</v>
      </c>
      <c r="B129" s="77" t="s">
        <v>0</v>
      </c>
      <c r="C129" s="78" t="s">
        <v>1</v>
      </c>
      <c r="D129" s="79" t="s">
        <v>4</v>
      </c>
      <c r="E129" s="80" t="s">
        <v>6</v>
      </c>
    </row>
    <row r="130" spans="1:8" ht="15.75" thickTop="1" x14ac:dyDescent="0.25">
      <c r="A130" s="81" t="s">
        <v>11</v>
      </c>
      <c r="B130" s="106">
        <f>SUM(B131:B177)</f>
        <v>22522000</v>
      </c>
      <c r="C130" s="106">
        <f t="shared" ref="C130:D130" si="15">SUM(C131:C177)</f>
        <v>58181482.509999998</v>
      </c>
      <c r="D130" s="106">
        <f t="shared" si="15"/>
        <v>45024198.999999993</v>
      </c>
      <c r="E130" s="83">
        <f t="shared" ref="E130:E136" si="16">D130/C130*100</f>
        <v>77.385788497674341</v>
      </c>
      <c r="F130" s="72"/>
      <c r="H130" s="159"/>
    </row>
    <row r="131" spans="1:8" s="70" customFormat="1" x14ac:dyDescent="0.2">
      <c r="A131" s="392" t="s">
        <v>176</v>
      </c>
      <c r="B131" s="310">
        <v>0</v>
      </c>
      <c r="C131" s="107">
        <v>535633</v>
      </c>
      <c r="D131" s="307">
        <v>535633</v>
      </c>
      <c r="E131" s="84">
        <f t="shared" si="16"/>
        <v>100</v>
      </c>
      <c r="F131" s="141">
        <v>100032</v>
      </c>
      <c r="G131" s="246" t="s">
        <v>62</v>
      </c>
      <c r="H131" s="65"/>
    </row>
    <row r="132" spans="1:8" s="70" customFormat="1" x14ac:dyDescent="0.2">
      <c r="A132" s="392" t="s">
        <v>73</v>
      </c>
      <c r="B132" s="310">
        <v>4433000</v>
      </c>
      <c r="C132" s="107">
        <v>732000</v>
      </c>
      <c r="D132" s="307">
        <v>433247.5</v>
      </c>
      <c r="E132" s="84">
        <f t="shared" si="16"/>
        <v>59.186816939890704</v>
      </c>
      <c r="F132" s="141">
        <v>100040</v>
      </c>
      <c r="G132" s="246" t="s">
        <v>62</v>
      </c>
      <c r="H132" s="65"/>
    </row>
    <row r="133" spans="1:8" s="70" customFormat="1" x14ac:dyDescent="0.2">
      <c r="A133" s="392" t="s">
        <v>238</v>
      </c>
      <c r="B133" s="310">
        <v>100000</v>
      </c>
      <c r="C133" s="307">
        <v>48527</v>
      </c>
      <c r="D133" s="310">
        <v>0</v>
      </c>
      <c r="E133" s="84">
        <f t="shared" si="16"/>
        <v>0</v>
      </c>
      <c r="F133" s="141">
        <v>100048</v>
      </c>
      <c r="G133" s="246" t="s">
        <v>62</v>
      </c>
      <c r="H133" s="65"/>
    </row>
    <row r="134" spans="1:8" s="70" customFormat="1" x14ac:dyDescent="0.2">
      <c r="A134" s="392" t="s">
        <v>155</v>
      </c>
      <c r="B134" s="310">
        <v>10488000</v>
      </c>
      <c r="C134" s="307">
        <v>10488000</v>
      </c>
      <c r="D134" s="310">
        <v>10487258.67</v>
      </c>
      <c r="E134" s="84">
        <f t="shared" si="16"/>
        <v>99.992931636155603</v>
      </c>
      <c r="F134" s="141">
        <v>100061</v>
      </c>
      <c r="G134" s="246" t="s">
        <v>62</v>
      </c>
      <c r="H134" s="65"/>
    </row>
    <row r="135" spans="1:8" s="70" customFormat="1" x14ac:dyDescent="0.2">
      <c r="A135" s="441" t="s">
        <v>162</v>
      </c>
      <c r="B135" s="310">
        <v>0</v>
      </c>
      <c r="C135" s="307">
        <v>218187</v>
      </c>
      <c r="D135" s="310">
        <v>218187</v>
      </c>
      <c r="E135" s="84">
        <f t="shared" si="16"/>
        <v>100</v>
      </c>
      <c r="F135" s="141">
        <v>100110</v>
      </c>
      <c r="G135" s="246" t="s">
        <v>62</v>
      </c>
      <c r="H135" s="65"/>
    </row>
    <row r="136" spans="1:8" s="70" customFormat="1" x14ac:dyDescent="0.2">
      <c r="A136" s="441" t="s">
        <v>239</v>
      </c>
      <c r="B136" s="310">
        <v>554000</v>
      </c>
      <c r="C136" s="307">
        <v>554000</v>
      </c>
      <c r="D136" s="310">
        <v>468319.9</v>
      </c>
      <c r="E136" s="84">
        <f t="shared" si="16"/>
        <v>84.534277978339361</v>
      </c>
      <c r="F136" s="141">
        <v>100112</v>
      </c>
      <c r="G136" s="246" t="s">
        <v>62</v>
      </c>
      <c r="H136" s="65"/>
    </row>
    <row r="137" spans="1:8" s="70" customFormat="1" x14ac:dyDescent="0.2">
      <c r="A137" s="88" t="s">
        <v>119</v>
      </c>
      <c r="B137" s="310">
        <v>2000000</v>
      </c>
      <c r="C137" s="307">
        <v>146800</v>
      </c>
      <c r="D137" s="304">
        <v>40680</v>
      </c>
      <c r="E137" s="84">
        <f t="shared" ref="E137:E168" si="17">D137/C137*100</f>
        <v>27.711171662125338</v>
      </c>
      <c r="F137" s="137">
        <v>100130</v>
      </c>
      <c r="G137" s="246" t="s">
        <v>62</v>
      </c>
      <c r="H137" s="65"/>
    </row>
    <row r="138" spans="1:8" s="144" customFormat="1" x14ac:dyDescent="0.2">
      <c r="A138" s="88" t="s">
        <v>78</v>
      </c>
      <c r="B138" s="310">
        <v>0</v>
      </c>
      <c r="C138" s="310">
        <v>1000</v>
      </c>
      <c r="D138" s="304">
        <v>1000</v>
      </c>
      <c r="E138" s="84">
        <f t="shared" si="17"/>
        <v>100</v>
      </c>
      <c r="F138" s="141">
        <v>100532</v>
      </c>
      <c r="G138" s="246" t="s">
        <v>62</v>
      </c>
      <c r="H138" s="143"/>
    </row>
    <row r="139" spans="1:8" s="70" customFormat="1" x14ac:dyDescent="0.2">
      <c r="A139" s="88" t="s">
        <v>163</v>
      </c>
      <c r="B139" s="310">
        <v>0</v>
      </c>
      <c r="C139" s="310">
        <v>3000</v>
      </c>
      <c r="D139" s="304">
        <v>3000</v>
      </c>
      <c r="E139" s="84">
        <f t="shared" si="17"/>
        <v>100</v>
      </c>
      <c r="F139" s="141">
        <v>100536</v>
      </c>
      <c r="G139" s="246" t="s">
        <v>62</v>
      </c>
      <c r="H139" s="65"/>
    </row>
    <row r="140" spans="1:8" s="53" customFormat="1" x14ac:dyDescent="0.2">
      <c r="A140" s="392" t="s">
        <v>70</v>
      </c>
      <c r="B140" s="307">
        <v>600000</v>
      </c>
      <c r="C140" s="307">
        <v>599000</v>
      </c>
      <c r="D140" s="307">
        <v>560450.18000000005</v>
      </c>
      <c r="E140" s="84">
        <f t="shared" si="17"/>
        <v>93.564303839732901</v>
      </c>
      <c r="F140" s="141">
        <v>100643</v>
      </c>
      <c r="G140" s="246" t="s">
        <v>62</v>
      </c>
      <c r="H140" s="73"/>
    </row>
    <row r="141" spans="1:8" s="53" customFormat="1" x14ac:dyDescent="0.2">
      <c r="A141" s="392" t="s">
        <v>71</v>
      </c>
      <c r="B141" s="310">
        <v>1762000</v>
      </c>
      <c r="C141" s="310">
        <v>52513</v>
      </c>
      <c r="D141" s="310">
        <v>50000</v>
      </c>
      <c r="E141" s="84">
        <f t="shared" si="17"/>
        <v>95.214518309751867</v>
      </c>
      <c r="F141" s="141">
        <v>100646</v>
      </c>
      <c r="G141" s="246" t="s">
        <v>62</v>
      </c>
      <c r="H141" s="73"/>
    </row>
    <row r="142" spans="1:8" s="53" customFormat="1" x14ac:dyDescent="0.2">
      <c r="A142" s="392" t="s">
        <v>153</v>
      </c>
      <c r="B142" s="310">
        <v>0</v>
      </c>
      <c r="C142" s="310">
        <v>1000</v>
      </c>
      <c r="D142" s="310">
        <v>1000</v>
      </c>
      <c r="E142" s="84">
        <f t="shared" si="17"/>
        <v>100</v>
      </c>
      <c r="F142" s="141">
        <v>100671</v>
      </c>
      <c r="G142" s="246" t="s">
        <v>62</v>
      </c>
      <c r="H142" s="73"/>
    </row>
    <row r="143" spans="1:8" s="53" customFormat="1" x14ac:dyDescent="0.2">
      <c r="A143" s="392" t="s">
        <v>240</v>
      </c>
      <c r="B143" s="310">
        <v>475000</v>
      </c>
      <c r="C143" s="310">
        <v>356224</v>
      </c>
      <c r="D143" s="310">
        <v>356224</v>
      </c>
      <c r="E143" s="84">
        <f t="shared" si="17"/>
        <v>100</v>
      </c>
      <c r="F143" s="141">
        <v>100672</v>
      </c>
      <c r="G143" s="246" t="s">
        <v>62</v>
      </c>
      <c r="H143" s="73"/>
    </row>
    <row r="144" spans="1:8" s="70" customFormat="1" x14ac:dyDescent="0.2">
      <c r="A144" s="392" t="s">
        <v>177</v>
      </c>
      <c r="B144" s="310">
        <v>456000</v>
      </c>
      <c r="C144" s="310">
        <v>650000</v>
      </c>
      <c r="D144" s="310">
        <v>649165</v>
      </c>
      <c r="E144" s="84">
        <f t="shared" si="17"/>
        <v>99.871538461538449</v>
      </c>
      <c r="F144" s="141">
        <v>100673</v>
      </c>
      <c r="G144" s="246" t="s">
        <v>62</v>
      </c>
      <c r="H144" s="65"/>
    </row>
    <row r="145" spans="1:11" s="70" customFormat="1" x14ac:dyDescent="0.2">
      <c r="A145" s="392" t="s">
        <v>241</v>
      </c>
      <c r="B145" s="310">
        <v>648000</v>
      </c>
      <c r="C145" s="310">
        <v>60300</v>
      </c>
      <c r="D145" s="310">
        <v>12828.19</v>
      </c>
      <c r="E145" s="84">
        <f t="shared" si="17"/>
        <v>21.273946932006634</v>
      </c>
      <c r="F145" s="141">
        <v>100674</v>
      </c>
      <c r="G145" s="246" t="s">
        <v>62</v>
      </c>
      <c r="H145" s="65"/>
    </row>
    <row r="146" spans="1:11" s="70" customFormat="1" x14ac:dyDescent="0.2">
      <c r="A146" s="392" t="s">
        <v>242</v>
      </c>
      <c r="B146" s="310">
        <v>268000</v>
      </c>
      <c r="C146" s="310">
        <v>280279</v>
      </c>
      <c r="D146" s="310">
        <v>280279</v>
      </c>
      <c r="E146" s="84">
        <f t="shared" si="17"/>
        <v>100</v>
      </c>
      <c r="F146" s="141">
        <v>100675</v>
      </c>
      <c r="G146" s="246" t="s">
        <v>62</v>
      </c>
      <c r="H146" s="65"/>
    </row>
    <row r="147" spans="1:11" s="70" customFormat="1" x14ac:dyDescent="0.2">
      <c r="A147" s="392" t="s">
        <v>178</v>
      </c>
      <c r="B147" s="310">
        <v>0</v>
      </c>
      <c r="C147" s="310">
        <v>189000</v>
      </c>
      <c r="D147" s="310">
        <v>186461</v>
      </c>
      <c r="E147" s="84">
        <f t="shared" si="17"/>
        <v>98.656613756613751</v>
      </c>
      <c r="F147" s="141">
        <v>100676</v>
      </c>
      <c r="G147" s="246" t="s">
        <v>62</v>
      </c>
      <c r="H147" s="65"/>
    </row>
    <row r="148" spans="1:11" s="70" customFormat="1" x14ac:dyDescent="0.2">
      <c r="A148" s="392" t="s">
        <v>180</v>
      </c>
      <c r="B148" s="310">
        <v>0</v>
      </c>
      <c r="C148" s="310">
        <v>299000</v>
      </c>
      <c r="D148" s="310">
        <v>298870</v>
      </c>
      <c r="E148" s="84">
        <f t="shared" si="17"/>
        <v>99.956521739130437</v>
      </c>
      <c r="F148" s="141">
        <v>100678</v>
      </c>
      <c r="G148" s="246" t="s">
        <v>62</v>
      </c>
      <c r="H148" s="65"/>
    </row>
    <row r="149" spans="1:11" s="70" customFormat="1" x14ac:dyDescent="0.2">
      <c r="A149" s="392" t="s">
        <v>243</v>
      </c>
      <c r="B149" s="310">
        <v>136000</v>
      </c>
      <c r="C149" s="310">
        <v>136000</v>
      </c>
      <c r="D149" s="310">
        <v>0</v>
      </c>
      <c r="E149" s="84">
        <f t="shared" si="17"/>
        <v>0</v>
      </c>
      <c r="F149" s="141">
        <v>100680</v>
      </c>
      <c r="G149" s="246" t="s">
        <v>62</v>
      </c>
      <c r="H149" s="65"/>
    </row>
    <row r="150" spans="1:11" s="70" customFormat="1" x14ac:dyDescent="0.2">
      <c r="A150" s="392" t="s">
        <v>72</v>
      </c>
      <c r="B150" s="310">
        <v>104000</v>
      </c>
      <c r="C150" s="310">
        <v>209000</v>
      </c>
      <c r="D150" s="310">
        <v>208289.4</v>
      </c>
      <c r="E150" s="84">
        <f t="shared" si="17"/>
        <v>99.66</v>
      </c>
      <c r="F150" s="141">
        <v>100781</v>
      </c>
      <c r="G150" s="246" t="s">
        <v>62</v>
      </c>
      <c r="H150" s="65"/>
    </row>
    <row r="151" spans="1:11" s="70" customFormat="1" x14ac:dyDescent="0.2">
      <c r="A151" s="88" t="s">
        <v>120</v>
      </c>
      <c r="B151" s="310">
        <v>230000</v>
      </c>
      <c r="C151" s="310">
        <v>254194</v>
      </c>
      <c r="D151" s="304">
        <v>254193</v>
      </c>
      <c r="E151" s="84">
        <f t="shared" si="17"/>
        <v>99.999606599683716</v>
      </c>
      <c r="F151" s="137">
        <v>100803</v>
      </c>
      <c r="G151" s="246" t="s">
        <v>62</v>
      </c>
      <c r="H151" s="65"/>
    </row>
    <row r="152" spans="1:11" s="70" customFormat="1" x14ac:dyDescent="0.2">
      <c r="A152" s="88" t="s">
        <v>164</v>
      </c>
      <c r="B152" s="310">
        <v>268000</v>
      </c>
      <c r="C152" s="307">
        <v>0</v>
      </c>
      <c r="D152" s="304">
        <v>0</v>
      </c>
      <c r="E152" s="84">
        <v>0</v>
      </c>
      <c r="F152" s="137">
        <v>100807</v>
      </c>
      <c r="G152" s="246" t="s">
        <v>62</v>
      </c>
      <c r="H152" s="65"/>
    </row>
    <row r="153" spans="1:11" s="70" customFormat="1" x14ac:dyDescent="0.2">
      <c r="A153" s="88" t="s">
        <v>244</v>
      </c>
      <c r="B153" s="310">
        <v>0</v>
      </c>
      <c r="C153" s="307">
        <v>200000</v>
      </c>
      <c r="D153" s="304">
        <v>4235</v>
      </c>
      <c r="E153" s="84">
        <f t="shared" ref="E153:E155" si="18">D153/C153*100</f>
        <v>2.1174999999999997</v>
      </c>
      <c r="F153" s="137">
        <v>100906</v>
      </c>
      <c r="G153" s="246" t="s">
        <v>62</v>
      </c>
      <c r="H153" s="65"/>
    </row>
    <row r="154" spans="1:11" s="70" customFormat="1" x14ac:dyDescent="0.2">
      <c r="A154" s="88" t="s">
        <v>245</v>
      </c>
      <c r="B154" s="310">
        <v>0</v>
      </c>
      <c r="C154" s="307">
        <v>200000</v>
      </c>
      <c r="D154" s="304">
        <v>5384.5</v>
      </c>
      <c r="E154" s="84">
        <f t="shared" si="18"/>
        <v>2.69225</v>
      </c>
      <c r="F154" s="137">
        <v>100907</v>
      </c>
      <c r="G154" s="246" t="s">
        <v>62</v>
      </c>
      <c r="H154" s="65"/>
    </row>
    <row r="155" spans="1:11" s="70" customFormat="1" x14ac:dyDescent="0.2">
      <c r="A155" s="88" t="s">
        <v>246</v>
      </c>
      <c r="B155" s="310">
        <v>0</v>
      </c>
      <c r="C155" s="307">
        <v>300000</v>
      </c>
      <c r="D155" s="304">
        <v>6594.5</v>
      </c>
      <c r="E155" s="84">
        <f t="shared" si="18"/>
        <v>2.1981666666666668</v>
      </c>
      <c r="F155" s="137">
        <v>100908</v>
      </c>
      <c r="G155" s="246" t="s">
        <v>62</v>
      </c>
      <c r="H155" s="65"/>
    </row>
    <row r="156" spans="1:11" s="70" customFormat="1" x14ac:dyDescent="0.2">
      <c r="A156" s="88" t="s">
        <v>176</v>
      </c>
      <c r="B156" s="310">
        <v>0</v>
      </c>
      <c r="C156" s="310">
        <v>244952</v>
      </c>
      <c r="D156" s="304">
        <v>54450</v>
      </c>
      <c r="E156" s="84">
        <f t="shared" si="17"/>
        <v>22.228844834906429</v>
      </c>
      <c r="F156" s="141">
        <v>100032</v>
      </c>
      <c r="G156" s="245" t="s">
        <v>286</v>
      </c>
      <c r="H156" s="65"/>
    </row>
    <row r="157" spans="1:11" s="70" customFormat="1" x14ac:dyDescent="0.2">
      <c r="A157" s="88" t="s">
        <v>287</v>
      </c>
      <c r="B157" s="310">
        <v>0</v>
      </c>
      <c r="C157" s="310">
        <v>939529</v>
      </c>
      <c r="D157" s="304">
        <v>6150</v>
      </c>
      <c r="E157" s="84">
        <f t="shared" si="17"/>
        <v>0.65458330716774049</v>
      </c>
      <c r="F157" s="141">
        <v>100041</v>
      </c>
      <c r="G157" s="245" t="s">
        <v>286</v>
      </c>
      <c r="H157" s="65"/>
    </row>
    <row r="158" spans="1:11" s="70" customFormat="1" x14ac:dyDescent="0.2">
      <c r="A158" s="88" t="s">
        <v>118</v>
      </c>
      <c r="B158" s="310">
        <v>0</v>
      </c>
      <c r="C158" s="310">
        <v>6184390</v>
      </c>
      <c r="D158" s="304">
        <v>4511780.0999999996</v>
      </c>
      <c r="E158" s="84">
        <f t="shared" si="17"/>
        <v>72.954326942511699</v>
      </c>
      <c r="F158" s="141">
        <v>100106</v>
      </c>
      <c r="G158" s="245" t="s">
        <v>286</v>
      </c>
      <c r="H158" s="65"/>
    </row>
    <row r="159" spans="1:11" s="70" customFormat="1" x14ac:dyDescent="0.2">
      <c r="A159" s="441" t="s">
        <v>162</v>
      </c>
      <c r="B159" s="310">
        <v>0</v>
      </c>
      <c r="C159" s="310">
        <v>8801999.4100000001</v>
      </c>
      <c r="D159" s="304">
        <v>7800501.6600000001</v>
      </c>
      <c r="E159" s="84">
        <f t="shared" si="17"/>
        <v>88.621928912399241</v>
      </c>
      <c r="F159" s="141">
        <v>100110</v>
      </c>
      <c r="G159" s="245" t="s">
        <v>286</v>
      </c>
      <c r="H159" s="282" t="s">
        <v>109</v>
      </c>
      <c r="I159" s="283">
        <f>SUM(B215:B216)</f>
        <v>0</v>
      </c>
      <c r="J159" s="283">
        <f>SUM(C215:C216)</f>
        <v>829450</v>
      </c>
      <c r="K159" s="283">
        <f>SUM(D215:D216)</f>
        <v>578961</v>
      </c>
    </row>
    <row r="160" spans="1:11" s="70" customFormat="1" x14ac:dyDescent="0.2">
      <c r="A160" s="88" t="s">
        <v>78</v>
      </c>
      <c r="B160" s="310">
        <v>0</v>
      </c>
      <c r="C160" s="310">
        <v>2803490.96</v>
      </c>
      <c r="D160" s="304">
        <v>2803490.96</v>
      </c>
      <c r="E160" s="84">
        <f t="shared" si="17"/>
        <v>100</v>
      </c>
      <c r="F160" s="141">
        <v>100532</v>
      </c>
      <c r="G160" s="245" t="s">
        <v>286</v>
      </c>
      <c r="H160" s="246" t="s">
        <v>62</v>
      </c>
      <c r="I160" s="277">
        <f>SUM(B131:B155)</f>
        <v>22522000</v>
      </c>
      <c r="J160" s="277">
        <f t="shared" ref="J160:K160" si="19">SUM(C131:C155)</f>
        <v>16513657</v>
      </c>
      <c r="K160" s="277">
        <f t="shared" si="19"/>
        <v>15061299.84</v>
      </c>
    </row>
    <row r="161" spans="1:11" s="70" customFormat="1" x14ac:dyDescent="0.2">
      <c r="A161" s="88" t="s">
        <v>178</v>
      </c>
      <c r="B161" s="310">
        <v>0</v>
      </c>
      <c r="C161" s="310">
        <v>4142628.66</v>
      </c>
      <c r="D161" s="297">
        <v>3492360.26</v>
      </c>
      <c r="E161" s="84">
        <f t="shared" si="17"/>
        <v>84.303000501135898</v>
      </c>
      <c r="F161" s="141">
        <v>100676</v>
      </c>
      <c r="G161" s="245" t="s">
        <v>286</v>
      </c>
      <c r="H161" s="245" t="s">
        <v>145</v>
      </c>
      <c r="I161" s="413">
        <f>SUM(B156:B177)</f>
        <v>0</v>
      </c>
      <c r="J161" s="413">
        <f t="shared" ref="J161:K161" si="20">SUM(C156:C177)</f>
        <v>41667825.509999998</v>
      </c>
      <c r="K161" s="413">
        <f t="shared" si="20"/>
        <v>29962899.16</v>
      </c>
    </row>
    <row r="162" spans="1:11" s="70" customFormat="1" x14ac:dyDescent="0.2">
      <c r="A162" s="88" t="s">
        <v>179</v>
      </c>
      <c r="B162" s="310">
        <v>0</v>
      </c>
      <c r="C162" s="310">
        <v>633485</v>
      </c>
      <c r="D162" s="297">
        <v>340266.19</v>
      </c>
      <c r="E162" s="84">
        <f t="shared" si="17"/>
        <v>53.713377585893909</v>
      </c>
      <c r="F162" s="141">
        <v>100677</v>
      </c>
      <c r="G162" s="245" t="s">
        <v>286</v>
      </c>
      <c r="H162" s="252" t="s">
        <v>82</v>
      </c>
      <c r="I162" s="405">
        <f>SUM(B182:B210)</f>
        <v>92657000</v>
      </c>
      <c r="J162" s="405">
        <f t="shared" ref="J162:K162" si="21">SUM(C182:C210)</f>
        <v>42161000</v>
      </c>
      <c r="K162" s="405">
        <f t="shared" si="21"/>
        <v>42161000</v>
      </c>
    </row>
    <row r="163" spans="1:11" s="70" customFormat="1" x14ac:dyDescent="0.2">
      <c r="A163" s="88" t="s">
        <v>180</v>
      </c>
      <c r="B163" s="307">
        <v>0</v>
      </c>
      <c r="C163" s="307">
        <v>3028237</v>
      </c>
      <c r="D163" s="297">
        <v>1761879.24</v>
      </c>
      <c r="E163" s="84">
        <f t="shared" si="17"/>
        <v>58.181682609386257</v>
      </c>
      <c r="F163" s="141">
        <v>100678</v>
      </c>
      <c r="G163" s="245" t="s">
        <v>286</v>
      </c>
      <c r="H163" s="65"/>
      <c r="I163" s="404">
        <f>SUM(I159:I162)</f>
        <v>115179000</v>
      </c>
      <c r="J163" s="404">
        <f t="shared" ref="J163:K163" si="22">SUM(J159:J162)</f>
        <v>101171932.50999999</v>
      </c>
      <c r="K163" s="404">
        <f t="shared" si="22"/>
        <v>87764160</v>
      </c>
    </row>
    <row r="164" spans="1:11" s="70" customFormat="1" x14ac:dyDescent="0.2">
      <c r="A164" s="88" t="s">
        <v>154</v>
      </c>
      <c r="B164" s="307">
        <v>0</v>
      </c>
      <c r="C164" s="307">
        <v>3600264</v>
      </c>
      <c r="D164" s="297">
        <v>2563514.62</v>
      </c>
      <c r="E164" s="84">
        <f t="shared" si="17"/>
        <v>71.203517853135224</v>
      </c>
      <c r="F164" s="141">
        <v>100679</v>
      </c>
      <c r="G164" s="245" t="s">
        <v>286</v>
      </c>
      <c r="H164" s="65"/>
    </row>
    <row r="165" spans="1:11" s="70" customFormat="1" x14ac:dyDescent="0.2">
      <c r="A165" s="392" t="s">
        <v>121</v>
      </c>
      <c r="B165" s="307">
        <v>0</v>
      </c>
      <c r="C165" s="307">
        <v>5034603</v>
      </c>
      <c r="D165" s="307">
        <v>3026235.8</v>
      </c>
      <c r="E165" s="84">
        <f t="shared" si="17"/>
        <v>60.108727540185392</v>
      </c>
      <c r="F165" s="141">
        <v>100798</v>
      </c>
      <c r="G165" s="245" t="s">
        <v>286</v>
      </c>
      <c r="H165" s="65"/>
    </row>
    <row r="166" spans="1:11" s="70" customFormat="1" x14ac:dyDescent="0.2">
      <c r="A166" s="392" t="s">
        <v>181</v>
      </c>
      <c r="B166" s="307">
        <v>0</v>
      </c>
      <c r="C166" s="307">
        <v>2904986.48</v>
      </c>
      <c r="D166" s="307">
        <v>2698865.03</v>
      </c>
      <c r="E166" s="84">
        <f t="shared" si="17"/>
        <v>92.904564223651732</v>
      </c>
      <c r="F166" s="141">
        <v>100831</v>
      </c>
      <c r="G166" s="245" t="s">
        <v>286</v>
      </c>
      <c r="H166" s="65"/>
    </row>
    <row r="167" spans="1:11" s="70" customFormat="1" x14ac:dyDescent="0.2">
      <c r="A167" s="392" t="s">
        <v>182</v>
      </c>
      <c r="B167" s="307">
        <v>0</v>
      </c>
      <c r="C167" s="307">
        <v>420000</v>
      </c>
      <c r="D167" s="307">
        <v>222398</v>
      </c>
      <c r="E167" s="84">
        <f t="shared" si="17"/>
        <v>52.951904761904764</v>
      </c>
      <c r="F167" s="141">
        <v>100863</v>
      </c>
      <c r="G167" s="245" t="s">
        <v>286</v>
      </c>
      <c r="H167" s="65"/>
    </row>
    <row r="168" spans="1:11" s="86" customFormat="1" x14ac:dyDescent="0.2">
      <c r="A168" s="88" t="s">
        <v>183</v>
      </c>
      <c r="B168" s="347">
        <v>0</v>
      </c>
      <c r="C168" s="348">
        <v>215430</v>
      </c>
      <c r="D168" s="348">
        <v>128260</v>
      </c>
      <c r="E168" s="84">
        <f t="shared" si="17"/>
        <v>59.536740472543279</v>
      </c>
      <c r="F168" s="141">
        <v>100864</v>
      </c>
      <c r="G168" s="245" t="s">
        <v>286</v>
      </c>
      <c r="H168" s="85"/>
    </row>
    <row r="169" spans="1:11" s="86" customFormat="1" x14ac:dyDescent="0.2">
      <c r="A169" s="88" t="s">
        <v>184</v>
      </c>
      <c r="B169" s="347">
        <v>0</v>
      </c>
      <c r="C169" s="348">
        <v>623830</v>
      </c>
      <c r="D169" s="348">
        <v>460025</v>
      </c>
      <c r="E169" s="84">
        <f t="shared" ref="E169:E177" si="23">D169/C169*100</f>
        <v>73.742045108443008</v>
      </c>
      <c r="F169" s="141">
        <v>100865</v>
      </c>
      <c r="G169" s="245" t="s">
        <v>286</v>
      </c>
      <c r="H169" s="85"/>
    </row>
    <row r="170" spans="1:11" s="86" customFormat="1" x14ac:dyDescent="0.2">
      <c r="A170" s="88" t="s">
        <v>288</v>
      </c>
      <c r="B170" s="347">
        <v>0</v>
      </c>
      <c r="C170" s="348">
        <v>250000</v>
      </c>
      <c r="D170" s="348">
        <v>6110.5</v>
      </c>
      <c r="E170" s="84">
        <f t="shared" si="23"/>
        <v>2.4441999999999999</v>
      </c>
      <c r="F170" s="141">
        <v>100913</v>
      </c>
      <c r="G170" s="245" t="s">
        <v>286</v>
      </c>
      <c r="H170" s="85"/>
    </row>
    <row r="171" spans="1:11" s="86" customFormat="1" x14ac:dyDescent="0.2">
      <c r="A171" s="88" t="s">
        <v>289</v>
      </c>
      <c r="B171" s="347">
        <v>0</v>
      </c>
      <c r="C171" s="348">
        <v>250000</v>
      </c>
      <c r="D171" s="348">
        <v>5777.75</v>
      </c>
      <c r="E171" s="84">
        <f t="shared" si="23"/>
        <v>2.3111000000000002</v>
      </c>
      <c r="F171" s="141">
        <v>100914</v>
      </c>
      <c r="G171" s="245" t="s">
        <v>286</v>
      </c>
      <c r="H171" s="85"/>
    </row>
    <row r="172" spans="1:11" s="86" customFormat="1" x14ac:dyDescent="0.2">
      <c r="A172" s="88" t="s">
        <v>290</v>
      </c>
      <c r="B172" s="347">
        <v>0</v>
      </c>
      <c r="C172" s="348">
        <v>150000</v>
      </c>
      <c r="D172" s="348">
        <v>0</v>
      </c>
      <c r="E172" s="84">
        <f t="shared" si="23"/>
        <v>0</v>
      </c>
      <c r="F172" s="141">
        <v>100915</v>
      </c>
      <c r="G172" s="245" t="s">
        <v>286</v>
      </c>
      <c r="H172" s="85"/>
    </row>
    <row r="173" spans="1:11" s="86" customFormat="1" x14ac:dyDescent="0.2">
      <c r="A173" s="88" t="s">
        <v>291</v>
      </c>
      <c r="B173" s="347">
        <v>0</v>
      </c>
      <c r="C173" s="348">
        <v>90000</v>
      </c>
      <c r="D173" s="348">
        <v>62411.8</v>
      </c>
      <c r="E173" s="84">
        <f t="shared" si="23"/>
        <v>69.346444444444444</v>
      </c>
      <c r="F173" s="141">
        <v>100916</v>
      </c>
      <c r="G173" s="245" t="s">
        <v>286</v>
      </c>
      <c r="H173" s="85"/>
    </row>
    <row r="174" spans="1:11" s="86" customFormat="1" x14ac:dyDescent="0.2">
      <c r="A174" s="88" t="s">
        <v>292</v>
      </c>
      <c r="B174" s="347">
        <v>0</v>
      </c>
      <c r="C174" s="348">
        <v>450000</v>
      </c>
      <c r="D174" s="348">
        <v>6776</v>
      </c>
      <c r="E174" s="84">
        <f t="shared" si="23"/>
        <v>1.5057777777777777</v>
      </c>
      <c r="F174" s="141">
        <v>100917</v>
      </c>
      <c r="G174" s="245" t="s">
        <v>286</v>
      </c>
      <c r="H174" s="85"/>
    </row>
    <row r="175" spans="1:11" s="86" customFormat="1" x14ac:dyDescent="0.2">
      <c r="A175" s="88" t="s">
        <v>293</v>
      </c>
      <c r="B175" s="347">
        <v>0</v>
      </c>
      <c r="C175" s="348">
        <v>300000</v>
      </c>
      <c r="D175" s="348">
        <v>6201.25</v>
      </c>
      <c r="E175" s="84">
        <f t="shared" si="23"/>
        <v>2.0670833333333332</v>
      </c>
      <c r="F175" s="141">
        <v>100918</v>
      </c>
      <c r="G175" s="245" t="s">
        <v>286</v>
      </c>
      <c r="H175" s="85"/>
    </row>
    <row r="176" spans="1:11" s="86" customFormat="1" x14ac:dyDescent="0.2">
      <c r="A176" s="88" t="s">
        <v>294</v>
      </c>
      <c r="B176" s="347">
        <v>0</v>
      </c>
      <c r="C176" s="348">
        <v>400000</v>
      </c>
      <c r="D176" s="348">
        <v>0</v>
      </c>
      <c r="E176" s="84">
        <f t="shared" si="23"/>
        <v>0</v>
      </c>
      <c r="F176" s="141">
        <v>100919</v>
      </c>
      <c r="G176" s="245" t="s">
        <v>286</v>
      </c>
      <c r="H176" s="85"/>
    </row>
    <row r="177" spans="1:8" s="86" customFormat="1" ht="13.5" thickBot="1" x14ac:dyDescent="0.25">
      <c r="A177" s="435" t="s">
        <v>295</v>
      </c>
      <c r="B177" s="349">
        <v>0</v>
      </c>
      <c r="C177" s="350">
        <v>200000</v>
      </c>
      <c r="D177" s="350">
        <v>5445</v>
      </c>
      <c r="E177" s="300">
        <f t="shared" si="23"/>
        <v>2.7225000000000001</v>
      </c>
      <c r="F177" s="141">
        <v>100920</v>
      </c>
      <c r="G177" s="245" t="s">
        <v>286</v>
      </c>
      <c r="H177" s="85"/>
    </row>
    <row r="178" spans="1:8" s="35" customFormat="1" ht="13.5" thickTop="1" x14ac:dyDescent="0.2">
      <c r="E178" s="90"/>
      <c r="F178" s="138"/>
      <c r="G178" s="94"/>
      <c r="H178" s="94"/>
    </row>
    <row r="179" spans="1:8" s="35" customFormat="1" ht="15.75" thickBot="1" x14ac:dyDescent="0.25">
      <c r="A179" s="95" t="s">
        <v>318</v>
      </c>
      <c r="B179" s="27"/>
      <c r="C179" s="27"/>
      <c r="D179" s="27"/>
      <c r="E179" s="383" t="s">
        <v>18</v>
      </c>
      <c r="F179" s="138"/>
      <c r="G179" s="94"/>
      <c r="H179" s="94"/>
    </row>
    <row r="180" spans="1:8" s="35" customFormat="1" ht="14.25" thickTop="1" thickBot="1" x14ac:dyDescent="0.25">
      <c r="A180" s="76" t="s">
        <v>5</v>
      </c>
      <c r="B180" s="77" t="s">
        <v>0</v>
      </c>
      <c r="C180" s="78" t="s">
        <v>1</v>
      </c>
      <c r="D180" s="79" t="s">
        <v>4</v>
      </c>
      <c r="E180" s="80" t="s">
        <v>6</v>
      </c>
      <c r="F180" s="138"/>
      <c r="G180" s="94"/>
      <c r="H180" s="94"/>
    </row>
    <row r="181" spans="1:8" s="35" customFormat="1" ht="15.75" thickTop="1" x14ac:dyDescent="0.2">
      <c r="A181" s="386" t="s">
        <v>11</v>
      </c>
      <c r="B181" s="390">
        <f>SUM(B182:B210)</f>
        <v>92657000</v>
      </c>
      <c r="C181" s="390">
        <f>SUM(C182:C210)</f>
        <v>42161000</v>
      </c>
      <c r="D181" s="390">
        <f>SUM(D182:D210)</f>
        <v>42161000</v>
      </c>
      <c r="E181" s="387">
        <f t="shared" ref="E181:E210" si="24">D181/C181*100</f>
        <v>100</v>
      </c>
      <c r="F181" s="138"/>
      <c r="G181" s="94"/>
      <c r="H181" s="94"/>
    </row>
    <row r="182" spans="1:8" s="35" customFormat="1" x14ac:dyDescent="0.2">
      <c r="A182" s="296" t="s">
        <v>322</v>
      </c>
      <c r="B182" s="301">
        <v>4037000</v>
      </c>
      <c r="C182" s="303">
        <v>0</v>
      </c>
      <c r="D182" s="303">
        <v>0</v>
      </c>
      <c r="E182" s="84">
        <v>0</v>
      </c>
      <c r="F182" s="72" t="s">
        <v>320</v>
      </c>
      <c r="G182" s="252" t="s">
        <v>82</v>
      </c>
      <c r="H182" s="94"/>
    </row>
    <row r="183" spans="1:8" s="35" customFormat="1" x14ac:dyDescent="0.2">
      <c r="A183" s="296" t="s">
        <v>323</v>
      </c>
      <c r="B183" s="301">
        <v>4509000</v>
      </c>
      <c r="C183" s="303">
        <v>0</v>
      </c>
      <c r="D183" s="303">
        <v>0</v>
      </c>
      <c r="E183" s="84">
        <v>0</v>
      </c>
      <c r="F183" s="72" t="s">
        <v>320</v>
      </c>
      <c r="G183" s="252" t="s">
        <v>82</v>
      </c>
      <c r="H183" s="94"/>
    </row>
    <row r="184" spans="1:8" s="35" customFormat="1" x14ac:dyDescent="0.2">
      <c r="A184" s="296" t="s">
        <v>324</v>
      </c>
      <c r="B184" s="301">
        <v>10433000</v>
      </c>
      <c r="C184" s="303">
        <v>0</v>
      </c>
      <c r="D184" s="303">
        <v>0</v>
      </c>
      <c r="E184" s="84">
        <v>0</v>
      </c>
      <c r="F184" s="72" t="s">
        <v>320</v>
      </c>
      <c r="G184" s="252" t="s">
        <v>82</v>
      </c>
      <c r="H184" s="94"/>
    </row>
    <row r="185" spans="1:8" s="35" customFormat="1" x14ac:dyDescent="0.2">
      <c r="A185" s="296" t="s">
        <v>325</v>
      </c>
      <c r="B185" s="301">
        <v>5992000</v>
      </c>
      <c r="C185" s="303">
        <v>0</v>
      </c>
      <c r="D185" s="303">
        <v>0</v>
      </c>
      <c r="E185" s="84">
        <v>0</v>
      </c>
      <c r="F185" s="72" t="s">
        <v>320</v>
      </c>
      <c r="G185" s="252" t="s">
        <v>82</v>
      </c>
      <c r="H185" s="94"/>
    </row>
    <row r="186" spans="1:8" s="35" customFormat="1" x14ac:dyDescent="0.2">
      <c r="A186" s="296" t="s">
        <v>326</v>
      </c>
      <c r="B186" s="301">
        <v>5623000</v>
      </c>
      <c r="C186" s="303">
        <v>0</v>
      </c>
      <c r="D186" s="303">
        <v>0</v>
      </c>
      <c r="E186" s="84">
        <v>0</v>
      </c>
      <c r="F186" s="72" t="s">
        <v>320</v>
      </c>
      <c r="G186" s="252" t="s">
        <v>82</v>
      </c>
      <c r="H186" s="94"/>
    </row>
    <row r="187" spans="1:8" s="35" customFormat="1" x14ac:dyDescent="0.2">
      <c r="A187" s="296" t="s">
        <v>319</v>
      </c>
      <c r="B187" s="301">
        <v>12981000</v>
      </c>
      <c r="C187" s="303">
        <v>0</v>
      </c>
      <c r="D187" s="303">
        <v>0</v>
      </c>
      <c r="E187" s="84">
        <v>0</v>
      </c>
      <c r="F187" s="72" t="s">
        <v>320</v>
      </c>
      <c r="G187" s="252" t="s">
        <v>82</v>
      </c>
      <c r="H187" s="94"/>
    </row>
    <row r="188" spans="1:8" s="35" customFormat="1" x14ac:dyDescent="0.2">
      <c r="A188" s="296" t="s">
        <v>327</v>
      </c>
      <c r="B188" s="301">
        <v>10171000</v>
      </c>
      <c r="C188" s="303">
        <v>0</v>
      </c>
      <c r="D188" s="303">
        <v>0</v>
      </c>
      <c r="E188" s="84">
        <v>0</v>
      </c>
      <c r="F188" s="72" t="s">
        <v>320</v>
      </c>
      <c r="G188" s="252" t="s">
        <v>82</v>
      </c>
      <c r="H188" s="94"/>
    </row>
    <row r="189" spans="1:8" s="35" customFormat="1" x14ac:dyDescent="0.2">
      <c r="A189" s="296" t="s">
        <v>328</v>
      </c>
      <c r="B189" s="301">
        <v>7404000</v>
      </c>
      <c r="C189" s="303">
        <v>7404000</v>
      </c>
      <c r="D189" s="303">
        <v>7404000</v>
      </c>
      <c r="E189" s="84">
        <f t="shared" si="24"/>
        <v>100</v>
      </c>
      <c r="F189" s="72" t="s">
        <v>320</v>
      </c>
      <c r="G189" s="252" t="s">
        <v>82</v>
      </c>
      <c r="H189" s="94"/>
    </row>
    <row r="190" spans="1:8" s="35" customFormat="1" x14ac:dyDescent="0.2">
      <c r="A190" s="296" t="s">
        <v>407</v>
      </c>
      <c r="B190" s="301">
        <v>8249000</v>
      </c>
      <c r="C190" s="303">
        <v>8249000</v>
      </c>
      <c r="D190" s="303">
        <v>8249000</v>
      </c>
      <c r="E190" s="84">
        <f t="shared" si="24"/>
        <v>100</v>
      </c>
      <c r="F190" s="72" t="s">
        <v>320</v>
      </c>
      <c r="G190" s="252" t="s">
        <v>82</v>
      </c>
      <c r="H190" s="94"/>
    </row>
    <row r="191" spans="1:8" s="35" customFormat="1" x14ac:dyDescent="0.2">
      <c r="A191" s="296" t="s">
        <v>329</v>
      </c>
      <c r="B191" s="301">
        <v>3237000</v>
      </c>
      <c r="C191" s="303">
        <v>3237000</v>
      </c>
      <c r="D191" s="303">
        <v>3237000</v>
      </c>
      <c r="E191" s="84">
        <f t="shared" si="24"/>
        <v>100</v>
      </c>
      <c r="F191" s="72" t="s">
        <v>320</v>
      </c>
      <c r="G191" s="252" t="s">
        <v>82</v>
      </c>
      <c r="H191" s="94"/>
    </row>
    <row r="192" spans="1:8" s="35" customFormat="1" x14ac:dyDescent="0.2">
      <c r="A192" s="296" t="s">
        <v>330</v>
      </c>
      <c r="B192" s="301">
        <v>7530000</v>
      </c>
      <c r="C192" s="303">
        <v>7530000</v>
      </c>
      <c r="D192" s="303">
        <v>7530000</v>
      </c>
      <c r="E192" s="84">
        <f t="shared" si="24"/>
        <v>100</v>
      </c>
      <c r="F192" s="72" t="s">
        <v>320</v>
      </c>
      <c r="G192" s="252" t="s">
        <v>82</v>
      </c>
      <c r="H192" s="94"/>
    </row>
    <row r="193" spans="1:8" s="35" customFormat="1" x14ac:dyDescent="0.2">
      <c r="A193" s="296" t="s">
        <v>331</v>
      </c>
      <c r="B193" s="301">
        <v>12491000</v>
      </c>
      <c r="C193" s="303">
        <v>12491000</v>
      </c>
      <c r="D193" s="303">
        <v>12491000</v>
      </c>
      <c r="E193" s="84">
        <f t="shared" si="24"/>
        <v>100</v>
      </c>
      <c r="F193" s="72" t="s">
        <v>320</v>
      </c>
      <c r="G193" s="252" t="s">
        <v>82</v>
      </c>
      <c r="H193" s="94"/>
    </row>
    <row r="194" spans="1:8" s="35" customFormat="1" x14ac:dyDescent="0.2">
      <c r="A194" s="296" t="s">
        <v>343</v>
      </c>
      <c r="B194" s="301">
        <v>0</v>
      </c>
      <c r="C194" s="303">
        <v>200000</v>
      </c>
      <c r="D194" s="303">
        <v>200000</v>
      </c>
      <c r="E194" s="84">
        <f t="shared" si="24"/>
        <v>100</v>
      </c>
      <c r="F194" s="72" t="s">
        <v>321</v>
      </c>
      <c r="G194" s="252" t="s">
        <v>82</v>
      </c>
      <c r="H194" s="94"/>
    </row>
    <row r="195" spans="1:8" s="35" customFormat="1" x14ac:dyDescent="0.2">
      <c r="A195" s="296" t="s">
        <v>344</v>
      </c>
      <c r="B195" s="301">
        <v>0</v>
      </c>
      <c r="C195" s="303">
        <v>250000</v>
      </c>
      <c r="D195" s="303">
        <v>250000</v>
      </c>
      <c r="E195" s="84">
        <f t="shared" si="24"/>
        <v>100</v>
      </c>
      <c r="F195" s="72" t="s">
        <v>321</v>
      </c>
      <c r="G195" s="252" t="s">
        <v>82</v>
      </c>
      <c r="H195" s="94"/>
    </row>
    <row r="196" spans="1:8" s="35" customFormat="1" x14ac:dyDescent="0.2">
      <c r="A196" s="296" t="s">
        <v>345</v>
      </c>
      <c r="B196" s="301">
        <v>0</v>
      </c>
      <c r="C196" s="303">
        <v>200000</v>
      </c>
      <c r="D196" s="303">
        <v>200000</v>
      </c>
      <c r="E196" s="84">
        <f t="shared" si="24"/>
        <v>100</v>
      </c>
      <c r="F196" s="72" t="s">
        <v>321</v>
      </c>
      <c r="G196" s="252" t="s">
        <v>82</v>
      </c>
      <c r="H196" s="94"/>
    </row>
    <row r="197" spans="1:8" s="35" customFormat="1" x14ac:dyDescent="0.2">
      <c r="A197" s="296" t="s">
        <v>346</v>
      </c>
      <c r="B197" s="301">
        <v>0</v>
      </c>
      <c r="C197" s="303">
        <v>200000</v>
      </c>
      <c r="D197" s="303">
        <v>200000</v>
      </c>
      <c r="E197" s="84">
        <f t="shared" si="24"/>
        <v>100</v>
      </c>
      <c r="F197" s="72" t="s">
        <v>321</v>
      </c>
      <c r="G197" s="252" t="s">
        <v>82</v>
      </c>
      <c r="H197" s="94"/>
    </row>
    <row r="198" spans="1:8" s="35" customFormat="1" x14ac:dyDescent="0.2">
      <c r="A198" s="296" t="s">
        <v>347</v>
      </c>
      <c r="B198" s="301">
        <v>0</v>
      </c>
      <c r="C198" s="303">
        <v>100000</v>
      </c>
      <c r="D198" s="303">
        <v>100000</v>
      </c>
      <c r="E198" s="84">
        <f t="shared" si="24"/>
        <v>100</v>
      </c>
      <c r="F198" s="72" t="s">
        <v>321</v>
      </c>
      <c r="G198" s="252" t="s">
        <v>82</v>
      </c>
      <c r="H198" s="94"/>
    </row>
    <row r="199" spans="1:8" s="35" customFormat="1" x14ac:dyDescent="0.2">
      <c r="A199" s="296" t="s">
        <v>348</v>
      </c>
      <c r="B199" s="301">
        <v>0</v>
      </c>
      <c r="C199" s="303">
        <v>50000</v>
      </c>
      <c r="D199" s="303">
        <v>50000</v>
      </c>
      <c r="E199" s="84">
        <f t="shared" si="24"/>
        <v>100</v>
      </c>
      <c r="F199" s="72" t="s">
        <v>321</v>
      </c>
      <c r="G199" s="252" t="s">
        <v>82</v>
      </c>
      <c r="H199" s="94"/>
    </row>
    <row r="200" spans="1:8" s="35" customFormat="1" x14ac:dyDescent="0.2">
      <c r="A200" s="296" t="s">
        <v>349</v>
      </c>
      <c r="B200" s="301">
        <v>0</v>
      </c>
      <c r="C200" s="303">
        <v>50000</v>
      </c>
      <c r="D200" s="303">
        <v>50000</v>
      </c>
      <c r="E200" s="84">
        <f t="shared" si="24"/>
        <v>100</v>
      </c>
      <c r="F200" s="72" t="s">
        <v>321</v>
      </c>
      <c r="G200" s="252" t="s">
        <v>82</v>
      </c>
      <c r="H200" s="94"/>
    </row>
    <row r="201" spans="1:8" s="35" customFormat="1" x14ac:dyDescent="0.2">
      <c r="A201" s="296" t="s">
        <v>350</v>
      </c>
      <c r="B201" s="301">
        <v>0</v>
      </c>
      <c r="C201" s="303">
        <v>50000</v>
      </c>
      <c r="D201" s="303">
        <v>50000</v>
      </c>
      <c r="E201" s="84">
        <f t="shared" si="24"/>
        <v>100</v>
      </c>
      <c r="F201" s="72" t="s">
        <v>321</v>
      </c>
      <c r="G201" s="252" t="s">
        <v>82</v>
      </c>
      <c r="H201" s="94"/>
    </row>
    <row r="202" spans="1:8" s="35" customFormat="1" x14ac:dyDescent="0.2">
      <c r="A202" s="296" t="s">
        <v>351</v>
      </c>
      <c r="B202" s="301">
        <v>0</v>
      </c>
      <c r="C202" s="303">
        <v>350000</v>
      </c>
      <c r="D202" s="303">
        <v>350000</v>
      </c>
      <c r="E202" s="84">
        <f t="shared" si="24"/>
        <v>100</v>
      </c>
      <c r="F202" s="72" t="s">
        <v>321</v>
      </c>
      <c r="G202" s="252" t="s">
        <v>82</v>
      </c>
      <c r="H202" s="94"/>
    </row>
    <row r="203" spans="1:8" s="35" customFormat="1" x14ac:dyDescent="0.2">
      <c r="A203" s="296" t="s">
        <v>352</v>
      </c>
      <c r="B203" s="301">
        <v>0</v>
      </c>
      <c r="C203" s="303">
        <v>110000</v>
      </c>
      <c r="D203" s="303">
        <v>110000</v>
      </c>
      <c r="E203" s="84">
        <f t="shared" si="24"/>
        <v>100</v>
      </c>
      <c r="F203" s="72" t="s">
        <v>321</v>
      </c>
      <c r="G203" s="252" t="s">
        <v>82</v>
      </c>
      <c r="H203" s="94"/>
    </row>
    <row r="204" spans="1:8" s="35" customFormat="1" x14ac:dyDescent="0.2">
      <c r="A204" s="296" t="s">
        <v>353</v>
      </c>
      <c r="B204" s="301">
        <v>0</v>
      </c>
      <c r="C204" s="303">
        <v>50000</v>
      </c>
      <c r="D204" s="303">
        <v>50000</v>
      </c>
      <c r="E204" s="84">
        <f t="shared" si="24"/>
        <v>100</v>
      </c>
      <c r="F204" s="72" t="s">
        <v>321</v>
      </c>
      <c r="G204" s="252" t="s">
        <v>82</v>
      </c>
      <c r="H204" s="94"/>
    </row>
    <row r="205" spans="1:8" s="35" customFormat="1" x14ac:dyDescent="0.2">
      <c r="A205" s="296" t="s">
        <v>354</v>
      </c>
      <c r="B205" s="301">
        <v>0</v>
      </c>
      <c r="C205" s="303">
        <v>100000</v>
      </c>
      <c r="D205" s="303">
        <v>100000</v>
      </c>
      <c r="E205" s="84">
        <f t="shared" si="24"/>
        <v>100</v>
      </c>
      <c r="F205" s="72" t="s">
        <v>321</v>
      </c>
      <c r="G205" s="252" t="s">
        <v>82</v>
      </c>
      <c r="H205" s="94"/>
    </row>
    <row r="206" spans="1:8" s="35" customFormat="1" x14ac:dyDescent="0.2">
      <c r="A206" s="296" t="s">
        <v>355</v>
      </c>
      <c r="B206" s="301">
        <v>0</v>
      </c>
      <c r="C206" s="303">
        <v>100000</v>
      </c>
      <c r="D206" s="303">
        <v>100000</v>
      </c>
      <c r="E206" s="84">
        <f t="shared" si="24"/>
        <v>100</v>
      </c>
      <c r="F206" s="72" t="s">
        <v>321</v>
      </c>
      <c r="G206" s="252" t="s">
        <v>82</v>
      </c>
      <c r="H206" s="94"/>
    </row>
    <row r="207" spans="1:8" s="35" customFormat="1" x14ac:dyDescent="0.2">
      <c r="A207" s="296" t="s">
        <v>356</v>
      </c>
      <c r="B207" s="301">
        <v>0</v>
      </c>
      <c r="C207" s="303">
        <v>100000</v>
      </c>
      <c r="D207" s="303">
        <v>100000</v>
      </c>
      <c r="E207" s="84">
        <f t="shared" si="24"/>
        <v>100</v>
      </c>
      <c r="F207" s="72" t="s">
        <v>321</v>
      </c>
      <c r="G207" s="252" t="s">
        <v>82</v>
      </c>
      <c r="H207" s="94"/>
    </row>
    <row r="208" spans="1:8" s="35" customFormat="1" x14ac:dyDescent="0.2">
      <c r="A208" s="296" t="s">
        <v>357</v>
      </c>
      <c r="B208" s="301">
        <v>0</v>
      </c>
      <c r="C208" s="303">
        <v>200000</v>
      </c>
      <c r="D208" s="303">
        <v>200000</v>
      </c>
      <c r="E208" s="84">
        <f t="shared" si="24"/>
        <v>100</v>
      </c>
      <c r="F208" s="72" t="s">
        <v>321</v>
      </c>
      <c r="G208" s="252" t="s">
        <v>82</v>
      </c>
      <c r="H208" s="94"/>
    </row>
    <row r="209" spans="1:12" s="35" customFormat="1" x14ac:dyDescent="0.2">
      <c r="A209" s="296" t="s">
        <v>358</v>
      </c>
      <c r="B209" s="301">
        <v>0</v>
      </c>
      <c r="C209" s="303">
        <v>240000</v>
      </c>
      <c r="D209" s="303">
        <v>240000</v>
      </c>
      <c r="E209" s="84">
        <f t="shared" si="24"/>
        <v>100</v>
      </c>
      <c r="F209" s="72" t="s">
        <v>321</v>
      </c>
      <c r="G209" s="252" t="s">
        <v>82</v>
      </c>
      <c r="H209" s="94"/>
    </row>
    <row r="210" spans="1:12" s="35" customFormat="1" ht="13.5" thickBot="1" x14ac:dyDescent="0.25">
      <c r="A210" s="306" t="s">
        <v>359</v>
      </c>
      <c r="B210" s="299">
        <v>0</v>
      </c>
      <c r="C210" s="305">
        <v>900000</v>
      </c>
      <c r="D210" s="305">
        <v>900000</v>
      </c>
      <c r="E210" s="300">
        <f t="shared" si="24"/>
        <v>100</v>
      </c>
      <c r="F210" s="72" t="s">
        <v>321</v>
      </c>
      <c r="G210" s="252" t="s">
        <v>82</v>
      </c>
      <c r="H210" s="94"/>
    </row>
    <row r="211" spans="1:12" s="35" customFormat="1" ht="13.5" thickTop="1" x14ac:dyDescent="0.2">
      <c r="E211" s="90"/>
      <c r="F211" s="72"/>
      <c r="G211" s="252"/>
      <c r="H211" s="94"/>
    </row>
    <row r="212" spans="1:12" ht="15" customHeight="1" thickBot="1" x14ac:dyDescent="0.3">
      <c r="A212" s="74" t="s">
        <v>75</v>
      </c>
      <c r="E212" s="75" t="s">
        <v>18</v>
      </c>
      <c r="F212" s="27"/>
      <c r="G212" s="155"/>
      <c r="H212" s="284"/>
      <c r="I212" s="285"/>
      <c r="J212" s="285"/>
      <c r="K212" s="285"/>
      <c r="L212" s="53"/>
    </row>
    <row r="213" spans="1:12" ht="18" customHeight="1" thickTop="1" thickBot="1" x14ac:dyDescent="0.25">
      <c r="A213" s="76" t="s">
        <v>5</v>
      </c>
      <c r="B213" s="77" t="s">
        <v>0</v>
      </c>
      <c r="C213" s="78" t="s">
        <v>1</v>
      </c>
      <c r="D213" s="79" t="s">
        <v>4</v>
      </c>
      <c r="E213" s="80" t="s">
        <v>6</v>
      </c>
      <c r="F213" s="27"/>
      <c r="G213" s="155"/>
      <c r="H213" s="27"/>
      <c r="L213" s="53"/>
    </row>
    <row r="214" spans="1:12" s="133" customFormat="1" ht="15.75" thickTop="1" x14ac:dyDescent="0.2">
      <c r="A214" s="81" t="s">
        <v>11</v>
      </c>
      <c r="B214" s="82">
        <f>SUM(B215:B216)</f>
        <v>0</v>
      </c>
      <c r="C214" s="82">
        <f>SUM(C215:C216)</f>
        <v>829450</v>
      </c>
      <c r="D214" s="82">
        <f>SUM(D215:D216)</f>
        <v>578961</v>
      </c>
      <c r="E214" s="131">
        <f>D214/C214*100</f>
        <v>69.800590752908548</v>
      </c>
      <c r="F214" s="132" t="s">
        <v>2</v>
      </c>
      <c r="G214" s="156"/>
      <c r="L214" s="53"/>
    </row>
    <row r="215" spans="1:12" s="133" customFormat="1" x14ac:dyDescent="0.2">
      <c r="A215" s="296" t="s">
        <v>119</v>
      </c>
      <c r="B215" s="301">
        <v>0</v>
      </c>
      <c r="C215" s="303">
        <v>745000</v>
      </c>
      <c r="D215" s="303">
        <v>578961</v>
      </c>
      <c r="E215" s="84">
        <f>D215/C215*100</f>
        <v>77.71288590604027</v>
      </c>
      <c r="F215" s="251">
        <v>100130</v>
      </c>
      <c r="G215" s="156"/>
      <c r="L215" s="53"/>
    </row>
    <row r="216" spans="1:12" s="133" customFormat="1" ht="13.5" thickBot="1" x14ac:dyDescent="0.25">
      <c r="A216" s="298" t="s">
        <v>302</v>
      </c>
      <c r="B216" s="299">
        <v>0</v>
      </c>
      <c r="C216" s="302">
        <v>84450</v>
      </c>
      <c r="D216" s="299">
        <v>0</v>
      </c>
      <c r="E216" s="300">
        <f>D216/C216*100</f>
        <v>0</v>
      </c>
      <c r="F216" s="243">
        <v>0</v>
      </c>
      <c r="G216" s="282" t="s">
        <v>109</v>
      </c>
      <c r="L216" s="53"/>
    </row>
    <row r="217" spans="1:12" s="35" customFormat="1" ht="13.5" thickTop="1" x14ac:dyDescent="0.2">
      <c r="E217" s="90"/>
      <c r="F217" s="138"/>
      <c r="G217" s="94"/>
    </row>
    <row r="218" spans="1:12" s="34" customFormat="1" ht="18.75" thickBot="1" x14ac:dyDescent="0.3">
      <c r="A218" s="100" t="s">
        <v>32</v>
      </c>
      <c r="B218" s="101">
        <f>SUM(,B130,B181,B214)</f>
        <v>115179000</v>
      </c>
      <c r="C218" s="101">
        <f>SUM(,C130,C181,C214)</f>
        <v>101171932.50999999</v>
      </c>
      <c r="D218" s="101">
        <f>SUM(,D130,D181,D214)</f>
        <v>87764160</v>
      </c>
      <c r="E218" s="102">
        <f>D218/C218*100</f>
        <v>86.747537407497134</v>
      </c>
      <c r="F218" s="165"/>
      <c r="G218" s="103"/>
      <c r="H218" s="103"/>
    </row>
    <row r="219" spans="1:12" s="35" customFormat="1" ht="13.5" thickTop="1" x14ac:dyDescent="0.2">
      <c r="E219" s="90"/>
      <c r="F219" s="138"/>
      <c r="G219" s="94"/>
      <c r="H219" s="94"/>
    </row>
    <row r="220" spans="1:12" s="35" customFormat="1" x14ac:dyDescent="0.2">
      <c r="E220" s="90"/>
      <c r="F220" s="138"/>
      <c r="G220" s="94"/>
      <c r="H220" s="94"/>
    </row>
    <row r="221" spans="1:12" s="35" customFormat="1" x14ac:dyDescent="0.2">
      <c r="E221" s="90"/>
      <c r="F221" s="138"/>
      <c r="G221" s="94"/>
      <c r="H221" s="94"/>
    </row>
    <row r="222" spans="1:12" ht="15" customHeight="1" x14ac:dyDescent="0.25">
      <c r="A222" s="71" t="s">
        <v>46</v>
      </c>
    </row>
    <row r="223" spans="1:12" ht="15" customHeight="1" thickBot="1" x14ac:dyDescent="0.3">
      <c r="A223" s="74" t="s">
        <v>25</v>
      </c>
      <c r="E223" s="75" t="s">
        <v>18</v>
      </c>
    </row>
    <row r="224" spans="1:12" ht="14.25" thickTop="1" thickBot="1" x14ac:dyDescent="0.25">
      <c r="A224" s="76" t="s">
        <v>5</v>
      </c>
      <c r="B224" s="77" t="s">
        <v>0</v>
      </c>
      <c r="C224" s="78" t="s">
        <v>1</v>
      </c>
      <c r="D224" s="79" t="s">
        <v>4</v>
      </c>
      <c r="E224" s="80" t="s">
        <v>6</v>
      </c>
    </row>
    <row r="225" spans="1:11" ht="15.75" thickTop="1" x14ac:dyDescent="0.2">
      <c r="A225" s="81" t="s">
        <v>8</v>
      </c>
      <c r="B225" s="106">
        <f>SUM(B226:B233)</f>
        <v>3499000</v>
      </c>
      <c r="C225" s="106">
        <f>SUM(C226:C233)</f>
        <v>6210050.3199999994</v>
      </c>
      <c r="D225" s="106">
        <f>SUM(D226:D233)</f>
        <v>5952362.7199999997</v>
      </c>
      <c r="E225" s="96">
        <f>D225/C225*100</f>
        <v>95.850474847682079</v>
      </c>
      <c r="F225" s="72"/>
    </row>
    <row r="226" spans="1:11" s="70" customFormat="1" x14ac:dyDescent="0.2">
      <c r="A226" s="442" t="s">
        <v>391</v>
      </c>
      <c r="B226" s="110">
        <v>0</v>
      </c>
      <c r="C226" s="310">
        <v>1322511.22</v>
      </c>
      <c r="D226" s="307">
        <v>1322504.22</v>
      </c>
      <c r="E226" s="84">
        <f t="shared" ref="E226:E233" si="25">D226/C226*100</f>
        <v>99.999470703923393</v>
      </c>
      <c r="F226" s="141">
        <v>100417</v>
      </c>
      <c r="G226" s="246" t="s">
        <v>62</v>
      </c>
      <c r="H226" s="65"/>
    </row>
    <row r="227" spans="1:11" s="70" customFormat="1" x14ac:dyDescent="0.2">
      <c r="A227" s="392" t="s">
        <v>392</v>
      </c>
      <c r="B227" s="110">
        <v>0</v>
      </c>
      <c r="C227" s="310">
        <v>54450</v>
      </c>
      <c r="D227" s="307">
        <v>54450</v>
      </c>
      <c r="E227" s="84">
        <f t="shared" si="25"/>
        <v>100</v>
      </c>
      <c r="F227" s="141">
        <v>100768</v>
      </c>
      <c r="G227" s="246" t="s">
        <v>62</v>
      </c>
      <c r="H227" s="65"/>
    </row>
    <row r="228" spans="1:11" s="70" customFormat="1" x14ac:dyDescent="0.2">
      <c r="A228" s="392" t="s">
        <v>393</v>
      </c>
      <c r="B228" s="110">
        <v>3446000</v>
      </c>
      <c r="C228" s="310">
        <v>3778676.01</v>
      </c>
      <c r="D228" s="307">
        <v>3751313.41</v>
      </c>
      <c r="E228" s="84">
        <f t="shared" si="25"/>
        <v>99.27586805728815</v>
      </c>
      <c r="F228" s="141">
        <v>100771</v>
      </c>
      <c r="G228" s="246" t="s">
        <v>62</v>
      </c>
      <c r="H228" s="65"/>
    </row>
    <row r="229" spans="1:11" s="70" customFormat="1" x14ac:dyDescent="0.2">
      <c r="A229" s="392" t="s">
        <v>394</v>
      </c>
      <c r="B229" s="110">
        <v>0</v>
      </c>
      <c r="C229" s="310">
        <v>24000</v>
      </c>
      <c r="D229" s="307">
        <v>24000</v>
      </c>
      <c r="E229" s="84">
        <f t="shared" si="25"/>
        <v>100</v>
      </c>
      <c r="F229" s="141">
        <v>100810</v>
      </c>
      <c r="G229" s="246" t="s">
        <v>62</v>
      </c>
      <c r="H229" s="65"/>
    </row>
    <row r="230" spans="1:11" s="70" customFormat="1" x14ac:dyDescent="0.2">
      <c r="A230" s="392" t="s">
        <v>122</v>
      </c>
      <c r="B230" s="110">
        <v>53000</v>
      </c>
      <c r="C230" s="310">
        <v>139000</v>
      </c>
      <c r="D230" s="307">
        <v>138690</v>
      </c>
      <c r="E230" s="84">
        <f t="shared" si="25"/>
        <v>99.776978417266179</v>
      </c>
      <c r="F230" s="141">
        <v>100811</v>
      </c>
      <c r="G230" s="246" t="s">
        <v>62</v>
      </c>
      <c r="H230" s="65"/>
    </row>
    <row r="231" spans="1:11" s="70" customFormat="1" x14ac:dyDescent="0.2">
      <c r="A231" s="392" t="s">
        <v>395</v>
      </c>
      <c r="B231" s="110">
        <v>0</v>
      </c>
      <c r="C231" s="310">
        <v>157753</v>
      </c>
      <c r="D231" s="307">
        <v>157753</v>
      </c>
      <c r="E231" s="84">
        <f t="shared" si="25"/>
        <v>100</v>
      </c>
      <c r="F231" s="141">
        <v>100898</v>
      </c>
      <c r="G231" s="246" t="s">
        <v>62</v>
      </c>
      <c r="H231" s="65"/>
    </row>
    <row r="232" spans="1:11" s="70" customFormat="1" ht="25.5" x14ac:dyDescent="0.2">
      <c r="A232" s="313" t="s">
        <v>396</v>
      </c>
      <c r="B232" s="111">
        <v>0</v>
      </c>
      <c r="C232" s="304">
        <v>120619.09</v>
      </c>
      <c r="D232" s="297">
        <v>120619.09</v>
      </c>
      <c r="E232" s="84">
        <f t="shared" si="25"/>
        <v>100</v>
      </c>
      <c r="F232" s="137">
        <v>100899</v>
      </c>
      <c r="G232" s="246" t="s">
        <v>62</v>
      </c>
      <c r="H232" s="65"/>
    </row>
    <row r="233" spans="1:11" s="70" customFormat="1" ht="13.5" thickBot="1" x14ac:dyDescent="0.25">
      <c r="A233" s="436" t="s">
        <v>283</v>
      </c>
      <c r="B233" s="305">
        <v>0</v>
      </c>
      <c r="C233" s="309">
        <v>613041</v>
      </c>
      <c r="D233" s="309">
        <v>383033</v>
      </c>
      <c r="E233" s="300">
        <f t="shared" si="25"/>
        <v>62.480812865697402</v>
      </c>
      <c r="F233" s="141">
        <v>100872</v>
      </c>
      <c r="G233" s="411" t="s">
        <v>279</v>
      </c>
      <c r="H233" s="65"/>
    </row>
    <row r="234" spans="1:11" ht="13.5" thickTop="1" x14ac:dyDescent="0.2">
      <c r="A234" s="104"/>
      <c r="B234" s="105"/>
      <c r="C234" s="107"/>
      <c r="D234" s="107"/>
      <c r="E234" s="90"/>
      <c r="F234" s="72"/>
    </row>
    <row r="235" spans="1:11" ht="15" customHeight="1" thickBot="1" x14ac:dyDescent="0.25">
      <c r="A235" s="95" t="s">
        <v>48</v>
      </c>
      <c r="E235" s="75" t="s">
        <v>18</v>
      </c>
    </row>
    <row r="236" spans="1:11" ht="14.25" thickTop="1" thickBot="1" x14ac:dyDescent="0.25">
      <c r="A236" s="76" t="s">
        <v>5</v>
      </c>
      <c r="B236" s="77" t="s">
        <v>0</v>
      </c>
      <c r="C236" s="78" t="s">
        <v>1</v>
      </c>
      <c r="D236" s="79" t="s">
        <v>4</v>
      </c>
      <c r="E236" s="80" t="s">
        <v>6</v>
      </c>
    </row>
    <row r="237" spans="1:11" ht="15.75" thickTop="1" x14ac:dyDescent="0.2">
      <c r="A237" s="386" t="s">
        <v>8</v>
      </c>
      <c r="B237" s="237">
        <f>SUM(B238:B239)</f>
        <v>0</v>
      </c>
      <c r="C237" s="237">
        <f>SUM(C238:C239)</f>
        <v>500000</v>
      </c>
      <c r="D237" s="237">
        <f>SUM(D238:D239)</f>
        <v>498693.34</v>
      </c>
      <c r="E237" s="387">
        <f t="shared" ref="E237:E239" si="26">D237/C237*100</f>
        <v>99.738668000000004</v>
      </c>
      <c r="F237" s="72"/>
    </row>
    <row r="238" spans="1:11" x14ac:dyDescent="0.2">
      <c r="A238" s="296" t="s">
        <v>397</v>
      </c>
      <c r="B238" s="297">
        <v>0</v>
      </c>
      <c r="C238" s="304">
        <v>300000</v>
      </c>
      <c r="D238" s="304">
        <v>298693.34000000003</v>
      </c>
      <c r="E238" s="84">
        <f t="shared" si="26"/>
        <v>99.564446666666669</v>
      </c>
      <c r="F238" s="141">
        <v>1602</v>
      </c>
      <c r="G238" s="252" t="s">
        <v>189</v>
      </c>
    </row>
    <row r="239" spans="1:11" ht="13.5" thickBot="1" x14ac:dyDescent="0.25">
      <c r="A239" s="443" t="s">
        <v>398</v>
      </c>
      <c r="B239" s="329">
        <v>0</v>
      </c>
      <c r="C239" s="388">
        <v>200000</v>
      </c>
      <c r="D239" s="388">
        <v>200000</v>
      </c>
      <c r="E239" s="300">
        <f t="shared" si="26"/>
        <v>100</v>
      </c>
      <c r="F239" s="141">
        <v>1602</v>
      </c>
      <c r="G239" s="252" t="s">
        <v>188</v>
      </c>
    </row>
    <row r="240" spans="1:11" s="35" customFormat="1" ht="13.5" thickTop="1" x14ac:dyDescent="0.2">
      <c r="B240" s="151"/>
      <c r="C240" s="151"/>
      <c r="D240" s="151"/>
      <c r="E240" s="90"/>
      <c r="F240" s="138"/>
      <c r="G240" s="94"/>
      <c r="H240" s="246" t="s">
        <v>62</v>
      </c>
      <c r="I240" s="357">
        <f>SUM(B226:B232)</f>
        <v>3499000</v>
      </c>
      <c r="J240" s="357">
        <f t="shared" ref="J240:K240" si="27">SUM(C226:C232)</f>
        <v>5597009.3199999994</v>
      </c>
      <c r="K240" s="357">
        <f t="shared" si="27"/>
        <v>5569329.7199999997</v>
      </c>
    </row>
    <row r="241" spans="1:11" s="34" customFormat="1" ht="18.75" thickBot="1" x14ac:dyDescent="0.3">
      <c r="A241" s="100" t="s">
        <v>30</v>
      </c>
      <c r="B241" s="101">
        <f>SUM(B237,B225)</f>
        <v>3499000</v>
      </c>
      <c r="C241" s="101">
        <f>SUM(C237,C225)</f>
        <v>6710050.3199999994</v>
      </c>
      <c r="D241" s="101">
        <f>SUM(D237,D225)</f>
        <v>6451056.0599999996</v>
      </c>
      <c r="E241" s="102">
        <f>D241/C241*100</f>
        <v>96.140203908336716</v>
      </c>
      <c r="F241" s="168"/>
      <c r="G241" s="103"/>
      <c r="I241" s="276">
        <f>SUM(I240:I240)</f>
        <v>3499000</v>
      </c>
      <c r="J241" s="276">
        <f>SUM(J240:J240)</f>
        <v>5597009.3199999994</v>
      </c>
      <c r="K241" s="276">
        <f>SUM(K240:K240)</f>
        <v>5569329.7199999997</v>
      </c>
    </row>
    <row r="242" spans="1:11" s="35" customFormat="1" ht="13.5" thickTop="1" x14ac:dyDescent="0.2">
      <c r="E242" s="90"/>
      <c r="F242" s="138"/>
      <c r="G242" s="94"/>
    </row>
    <row r="243" spans="1:11" s="35" customFormat="1" x14ac:dyDescent="0.2">
      <c r="E243" s="90"/>
      <c r="F243" s="138"/>
      <c r="G243" s="94"/>
    </row>
    <row r="244" spans="1:11" ht="15" customHeight="1" x14ac:dyDescent="0.25">
      <c r="A244" s="71" t="s">
        <v>51</v>
      </c>
    </row>
    <row r="245" spans="1:11" ht="15" customHeight="1" thickBot="1" x14ac:dyDescent="0.3">
      <c r="A245" s="74" t="s">
        <v>25</v>
      </c>
      <c r="E245" s="75" t="s">
        <v>18</v>
      </c>
    </row>
    <row r="246" spans="1:11" ht="14.25" thickTop="1" thickBot="1" x14ac:dyDescent="0.25">
      <c r="A246" s="76" t="s">
        <v>5</v>
      </c>
      <c r="B246" s="77" t="s">
        <v>0</v>
      </c>
      <c r="C246" s="78" t="s">
        <v>1</v>
      </c>
      <c r="D246" s="79" t="s">
        <v>4</v>
      </c>
      <c r="E246" s="80" t="s">
        <v>6</v>
      </c>
    </row>
    <row r="247" spans="1:11" ht="15.75" thickTop="1" x14ac:dyDescent="0.2">
      <c r="A247" s="81" t="s">
        <v>10</v>
      </c>
      <c r="B247" s="106">
        <f>SUM(B248:B264)</f>
        <v>18227000</v>
      </c>
      <c r="C247" s="106">
        <f>SUM(C248:C264)</f>
        <v>41943602.079999998</v>
      </c>
      <c r="D247" s="106">
        <f>SUM(D248:D264)</f>
        <v>40869034.890000001</v>
      </c>
      <c r="E247" s="131">
        <f>D247/C247*100</f>
        <v>97.438066506661841</v>
      </c>
      <c r="F247" s="72"/>
    </row>
    <row r="248" spans="1:11" x14ac:dyDescent="0.2">
      <c r="A248" s="88" t="s">
        <v>247</v>
      </c>
      <c r="B248" s="111">
        <v>0</v>
      </c>
      <c r="C248" s="111">
        <v>1000</v>
      </c>
      <c r="D248" s="111">
        <v>1000</v>
      </c>
      <c r="E248" s="84">
        <f t="shared" ref="E248:E254" si="28">D248/C248*100</f>
        <v>100</v>
      </c>
      <c r="F248" s="351">
        <v>100651</v>
      </c>
      <c r="G248" s="246" t="s">
        <v>62</v>
      </c>
    </row>
    <row r="249" spans="1:11" ht="25.5" x14ac:dyDescent="0.2">
      <c r="A249" s="88" t="s">
        <v>399</v>
      </c>
      <c r="B249" s="111">
        <v>18227000</v>
      </c>
      <c r="C249" s="111">
        <v>15803249.01</v>
      </c>
      <c r="D249" s="111">
        <v>15803249.01</v>
      </c>
      <c r="E249" s="84">
        <f t="shared" si="28"/>
        <v>100</v>
      </c>
      <c r="F249" s="351">
        <v>100783</v>
      </c>
      <c r="G249" s="246" t="s">
        <v>62</v>
      </c>
    </row>
    <row r="250" spans="1:11" ht="25.5" x14ac:dyDescent="0.2">
      <c r="A250" s="88" t="s">
        <v>165</v>
      </c>
      <c r="B250" s="111">
        <v>0</v>
      </c>
      <c r="C250" s="111">
        <v>367545</v>
      </c>
      <c r="D250" s="111">
        <v>337239.4</v>
      </c>
      <c r="E250" s="84">
        <f t="shared" si="28"/>
        <v>91.754587873593721</v>
      </c>
      <c r="F250" s="351">
        <v>100858</v>
      </c>
      <c r="G250" s="246" t="s">
        <v>62</v>
      </c>
    </row>
    <row r="251" spans="1:11" x14ac:dyDescent="0.2">
      <c r="A251" s="88" t="s">
        <v>248</v>
      </c>
      <c r="B251" s="111">
        <v>0</v>
      </c>
      <c r="C251" s="111">
        <v>60000</v>
      </c>
      <c r="D251" s="111">
        <v>60000</v>
      </c>
      <c r="E251" s="84">
        <f t="shared" si="28"/>
        <v>100</v>
      </c>
      <c r="F251" s="351">
        <v>100901</v>
      </c>
      <c r="G251" s="246" t="s">
        <v>62</v>
      </c>
    </row>
    <row r="252" spans="1:11" x14ac:dyDescent="0.2">
      <c r="A252" s="88" t="s">
        <v>249</v>
      </c>
      <c r="B252" s="111">
        <v>0</v>
      </c>
      <c r="C252" s="111">
        <v>140000</v>
      </c>
      <c r="D252" s="111">
        <v>42168.5</v>
      </c>
      <c r="E252" s="84">
        <f t="shared" si="28"/>
        <v>30.120357142857141</v>
      </c>
      <c r="F252" s="351">
        <v>100902</v>
      </c>
      <c r="G252" s="246" t="s">
        <v>62</v>
      </c>
    </row>
    <row r="253" spans="1:11" ht="25.5" x14ac:dyDescent="0.2">
      <c r="A253" s="88" t="s">
        <v>400</v>
      </c>
      <c r="B253" s="111">
        <v>0</v>
      </c>
      <c r="C253" s="111">
        <v>615000</v>
      </c>
      <c r="D253" s="111">
        <v>594730</v>
      </c>
      <c r="E253" s="84">
        <f t="shared" si="28"/>
        <v>96.704065040650406</v>
      </c>
      <c r="F253" s="351">
        <v>100903</v>
      </c>
      <c r="G253" s="246" t="s">
        <v>62</v>
      </c>
    </row>
    <row r="254" spans="1:11" x14ac:dyDescent="0.2">
      <c r="A254" s="88" t="s">
        <v>401</v>
      </c>
      <c r="B254" s="111">
        <v>0</v>
      </c>
      <c r="C254" s="111">
        <v>390117.31</v>
      </c>
      <c r="D254" s="111">
        <v>390117.31</v>
      </c>
      <c r="E254" s="84">
        <f t="shared" si="28"/>
        <v>100</v>
      </c>
      <c r="F254" s="351">
        <v>100904</v>
      </c>
      <c r="G254" s="246" t="s">
        <v>62</v>
      </c>
    </row>
    <row r="255" spans="1:11" s="154" customFormat="1" x14ac:dyDescent="0.2">
      <c r="A255" s="88" t="s">
        <v>402</v>
      </c>
      <c r="B255" s="111">
        <v>0</v>
      </c>
      <c r="C255" s="111">
        <v>335000</v>
      </c>
      <c r="D255" s="111">
        <v>335000</v>
      </c>
      <c r="E255" s="84">
        <f t="shared" ref="E255:E264" si="29">D255/C255*100</f>
        <v>100</v>
      </c>
      <c r="F255" s="351">
        <v>100905</v>
      </c>
      <c r="G255" s="246" t="s">
        <v>62</v>
      </c>
      <c r="H255" s="153"/>
    </row>
    <row r="256" spans="1:11" s="113" customFormat="1" ht="25.5" x14ac:dyDescent="0.2">
      <c r="A256" s="88" t="s">
        <v>123</v>
      </c>
      <c r="B256" s="301">
        <v>0</v>
      </c>
      <c r="C256" s="301">
        <v>7417654.2599999998</v>
      </c>
      <c r="D256" s="301">
        <v>6951444.4500000002</v>
      </c>
      <c r="E256" s="84">
        <f t="shared" si="29"/>
        <v>93.714861954215706</v>
      </c>
      <c r="F256" s="152">
        <v>100664</v>
      </c>
      <c r="G256" s="369" t="s">
        <v>250</v>
      </c>
      <c r="H256" s="112"/>
    </row>
    <row r="257" spans="1:11" s="113" customFormat="1" x14ac:dyDescent="0.2">
      <c r="A257" s="88" t="s">
        <v>124</v>
      </c>
      <c r="B257" s="301">
        <v>0</v>
      </c>
      <c r="C257" s="111">
        <v>14944000</v>
      </c>
      <c r="D257" s="111">
        <v>14885277.02</v>
      </c>
      <c r="E257" s="84">
        <f t="shared" si="29"/>
        <v>99.607046440042822</v>
      </c>
      <c r="F257" s="152">
        <v>100665</v>
      </c>
      <c r="G257" s="369" t="s">
        <v>250</v>
      </c>
      <c r="H257" s="246" t="s">
        <v>62</v>
      </c>
      <c r="I257" s="360">
        <f>SUM(B248:B255)+SUM(B267:B278)</f>
        <v>53824000</v>
      </c>
      <c r="J257" s="360">
        <f>SUM(C248:C255)+SUM(C267:C278)</f>
        <v>75519759.420000002</v>
      </c>
      <c r="K257" s="360">
        <f>SUM(D248:D255)+SUM(D267:D278)</f>
        <v>58884865.780000001</v>
      </c>
    </row>
    <row r="258" spans="1:11" s="113" customFormat="1" ht="25.5" x14ac:dyDescent="0.2">
      <c r="A258" s="88" t="s">
        <v>125</v>
      </c>
      <c r="B258" s="301">
        <v>0</v>
      </c>
      <c r="C258" s="111">
        <v>313947.5</v>
      </c>
      <c r="D258" s="111">
        <v>291665</v>
      </c>
      <c r="E258" s="84">
        <f t="shared" si="29"/>
        <v>92.902475732407481</v>
      </c>
      <c r="F258" s="152">
        <v>100666</v>
      </c>
      <c r="G258" s="369" t="s">
        <v>250</v>
      </c>
      <c r="H258" s="369" t="s">
        <v>169</v>
      </c>
      <c r="I258" s="406">
        <f>SUM(B256:B261)</f>
        <v>0</v>
      </c>
      <c r="J258" s="406">
        <f t="shared" ref="J258:K258" si="30">SUM(C256:C261)</f>
        <v>23122787.759999998</v>
      </c>
      <c r="K258" s="406">
        <f t="shared" si="30"/>
        <v>22458377.669999998</v>
      </c>
    </row>
    <row r="259" spans="1:11" s="113" customFormat="1" x14ac:dyDescent="0.2">
      <c r="A259" s="88" t="s">
        <v>268</v>
      </c>
      <c r="B259" s="301">
        <v>0</v>
      </c>
      <c r="C259" s="111">
        <v>129720</v>
      </c>
      <c r="D259" s="111">
        <v>43560</v>
      </c>
      <c r="E259" s="84">
        <f t="shared" si="29"/>
        <v>33.580018501387606</v>
      </c>
      <c r="F259" s="152">
        <v>100885</v>
      </c>
      <c r="G259" s="369" t="s">
        <v>252</v>
      </c>
      <c r="H259" s="409" t="s">
        <v>110</v>
      </c>
      <c r="I259" s="410">
        <f>SUM(B262:B264)</f>
        <v>0</v>
      </c>
      <c r="J259" s="410">
        <f t="shared" ref="J259:K259" si="31">SUM(C262:C264)</f>
        <v>1108903</v>
      </c>
      <c r="K259" s="410">
        <f t="shared" si="31"/>
        <v>847153</v>
      </c>
    </row>
    <row r="260" spans="1:11" s="113" customFormat="1" x14ac:dyDescent="0.2">
      <c r="A260" s="88" t="s">
        <v>269</v>
      </c>
      <c r="B260" s="301">
        <v>0</v>
      </c>
      <c r="C260" s="111">
        <v>200580</v>
      </c>
      <c r="D260" s="111">
        <v>169545.2</v>
      </c>
      <c r="E260" s="84">
        <f t="shared" si="29"/>
        <v>84.52747033602553</v>
      </c>
      <c r="F260" s="152">
        <v>100886</v>
      </c>
      <c r="G260" s="369" t="s">
        <v>252</v>
      </c>
      <c r="H260" s="85" t="s">
        <v>160</v>
      </c>
      <c r="I260" s="407">
        <f>B282</f>
        <v>0</v>
      </c>
      <c r="J260" s="407">
        <f t="shared" ref="J260:K260" si="32">C282</f>
        <v>1200000</v>
      </c>
      <c r="K260" s="407">
        <f t="shared" si="32"/>
        <v>1200000</v>
      </c>
    </row>
    <row r="261" spans="1:11" s="113" customFormat="1" ht="14.25" x14ac:dyDescent="0.2">
      <c r="A261" s="88" t="s">
        <v>270</v>
      </c>
      <c r="B261" s="301">
        <v>0</v>
      </c>
      <c r="C261" s="111">
        <v>116886</v>
      </c>
      <c r="D261" s="111">
        <v>116886</v>
      </c>
      <c r="E261" s="84">
        <f t="shared" si="29"/>
        <v>100</v>
      </c>
      <c r="F261" s="152">
        <v>100887</v>
      </c>
      <c r="G261" s="369" t="s">
        <v>252</v>
      </c>
      <c r="H261" s="112"/>
      <c r="I261" s="359">
        <f>SUM(I257:I260)</f>
        <v>53824000</v>
      </c>
      <c r="J261" s="359">
        <f t="shared" ref="J261:K261" si="33">SUM(J257:J260)</f>
        <v>100951450.18000001</v>
      </c>
      <c r="K261" s="359">
        <f t="shared" si="33"/>
        <v>83390396.450000003</v>
      </c>
    </row>
    <row r="262" spans="1:11" s="113" customFormat="1" x14ac:dyDescent="0.2">
      <c r="A262" s="88" t="s">
        <v>284</v>
      </c>
      <c r="B262" s="301">
        <v>0</v>
      </c>
      <c r="C262" s="111">
        <v>196200</v>
      </c>
      <c r="D262" s="111">
        <v>55450</v>
      </c>
      <c r="E262" s="84">
        <f t="shared" si="29"/>
        <v>28.261977573904179</v>
      </c>
      <c r="F262" s="152">
        <v>100132</v>
      </c>
      <c r="G262" s="372" t="s">
        <v>279</v>
      </c>
      <c r="H262" s="112"/>
    </row>
    <row r="263" spans="1:11" s="113" customFormat="1" x14ac:dyDescent="0.2">
      <c r="A263" s="88" t="s">
        <v>185</v>
      </c>
      <c r="B263" s="301">
        <v>0</v>
      </c>
      <c r="C263" s="111">
        <v>694903</v>
      </c>
      <c r="D263" s="111">
        <v>694903</v>
      </c>
      <c r="E263" s="84">
        <f t="shared" si="29"/>
        <v>100</v>
      </c>
      <c r="F263" s="152">
        <v>100832</v>
      </c>
      <c r="G263" s="372" t="s">
        <v>279</v>
      </c>
      <c r="H263" s="160"/>
      <c r="I263" s="160"/>
    </row>
    <row r="264" spans="1:11" s="113" customFormat="1" x14ac:dyDescent="0.2">
      <c r="A264" s="434" t="s">
        <v>285</v>
      </c>
      <c r="B264" s="301">
        <v>0</v>
      </c>
      <c r="C264" s="111">
        <v>217800</v>
      </c>
      <c r="D264" s="111">
        <v>96800</v>
      </c>
      <c r="E264" s="84">
        <f t="shared" si="29"/>
        <v>44.444444444444443</v>
      </c>
      <c r="F264" s="152">
        <v>100889</v>
      </c>
      <c r="G264" s="372" t="s">
        <v>271</v>
      </c>
      <c r="H264" s="160"/>
      <c r="I264" s="160"/>
    </row>
    <row r="265" spans="1:11" s="113" customFormat="1" x14ac:dyDescent="0.2">
      <c r="A265" s="88"/>
      <c r="B265" s="108"/>
      <c r="C265" s="111"/>
      <c r="D265" s="111"/>
      <c r="E265" s="84"/>
      <c r="F265" s="152"/>
      <c r="G265" s="112"/>
      <c r="H265" s="112"/>
    </row>
    <row r="266" spans="1:11" ht="15" x14ac:dyDescent="0.2">
      <c r="A266" s="81" t="s">
        <v>52</v>
      </c>
      <c r="B266" s="106">
        <f>SUM(B267:B278)</f>
        <v>35597000</v>
      </c>
      <c r="C266" s="106">
        <f>SUM(C267:C278)</f>
        <v>57807848.100000001</v>
      </c>
      <c r="D266" s="106">
        <f>SUM(D267:D278)</f>
        <v>41321361.560000002</v>
      </c>
      <c r="E266" s="131">
        <f t="shared" ref="E266:E278" si="34">D266/C266*100</f>
        <v>71.480539266086268</v>
      </c>
      <c r="F266" s="72"/>
    </row>
    <row r="267" spans="1:11" x14ac:dyDescent="0.2">
      <c r="A267" s="392" t="s">
        <v>403</v>
      </c>
      <c r="B267" s="110">
        <v>0</v>
      </c>
      <c r="C267" s="307">
        <v>2000</v>
      </c>
      <c r="D267" s="307">
        <v>2000</v>
      </c>
      <c r="E267" s="84">
        <f t="shared" si="34"/>
        <v>100</v>
      </c>
      <c r="F267" s="141">
        <v>100305</v>
      </c>
      <c r="G267" s="246" t="s">
        <v>62</v>
      </c>
    </row>
    <row r="268" spans="1:11" x14ac:dyDescent="0.2">
      <c r="A268" s="392" t="s">
        <v>408</v>
      </c>
      <c r="B268" s="110">
        <v>22000</v>
      </c>
      <c r="C268" s="307">
        <v>26971288.100000001</v>
      </c>
      <c r="D268" s="307">
        <v>26225464.559999999</v>
      </c>
      <c r="E268" s="84">
        <f t="shared" si="34"/>
        <v>97.234750015517406</v>
      </c>
      <c r="F268" s="141">
        <v>100787</v>
      </c>
      <c r="G268" s="246" t="s">
        <v>62</v>
      </c>
    </row>
    <row r="269" spans="1:11" x14ac:dyDescent="0.2">
      <c r="A269" s="392" t="s">
        <v>409</v>
      </c>
      <c r="B269" s="110">
        <v>8392000</v>
      </c>
      <c r="C269" s="307">
        <v>8392000</v>
      </c>
      <c r="D269" s="307">
        <v>60500</v>
      </c>
      <c r="E269" s="84">
        <f t="shared" si="34"/>
        <v>0.72092469018112493</v>
      </c>
      <c r="F269" s="141">
        <v>100816</v>
      </c>
      <c r="G269" s="246" t="s">
        <v>62</v>
      </c>
    </row>
    <row r="270" spans="1:11" x14ac:dyDescent="0.2">
      <c r="A270" s="392" t="s">
        <v>410</v>
      </c>
      <c r="B270" s="110">
        <v>0</v>
      </c>
      <c r="C270" s="307">
        <v>121000</v>
      </c>
      <c r="D270" s="307">
        <v>121000</v>
      </c>
      <c r="E270" s="84">
        <f t="shared" si="34"/>
        <v>100</v>
      </c>
      <c r="F270" s="141">
        <v>100817</v>
      </c>
      <c r="G270" s="246" t="s">
        <v>62</v>
      </c>
    </row>
    <row r="271" spans="1:11" x14ac:dyDescent="0.2">
      <c r="A271" s="392" t="s">
        <v>411</v>
      </c>
      <c r="B271" s="110">
        <v>0</v>
      </c>
      <c r="C271" s="307">
        <v>240560</v>
      </c>
      <c r="D271" s="307">
        <v>240560</v>
      </c>
      <c r="E271" s="84">
        <f t="shared" si="34"/>
        <v>100</v>
      </c>
      <c r="F271" s="141">
        <v>100818</v>
      </c>
      <c r="G271" s="246" t="s">
        <v>62</v>
      </c>
    </row>
    <row r="272" spans="1:11" x14ac:dyDescent="0.2">
      <c r="A272" s="392" t="s">
        <v>303</v>
      </c>
      <c r="B272" s="110">
        <v>2000000</v>
      </c>
      <c r="C272" s="307">
        <v>2000000</v>
      </c>
      <c r="D272" s="307">
        <v>0</v>
      </c>
      <c r="E272" s="84">
        <f t="shared" si="34"/>
        <v>0</v>
      </c>
      <c r="F272" s="141">
        <v>100866</v>
      </c>
      <c r="G272" s="246" t="s">
        <v>62</v>
      </c>
    </row>
    <row r="273" spans="1:11" x14ac:dyDescent="0.2">
      <c r="A273" s="392" t="s">
        <v>404</v>
      </c>
      <c r="B273" s="110">
        <v>10500000</v>
      </c>
      <c r="C273" s="307">
        <v>2448000</v>
      </c>
      <c r="D273" s="307">
        <v>0</v>
      </c>
      <c r="E273" s="84">
        <f t="shared" si="34"/>
        <v>0</v>
      </c>
      <c r="F273" s="141">
        <v>100867</v>
      </c>
      <c r="G273" s="246" t="s">
        <v>62</v>
      </c>
    </row>
    <row r="274" spans="1:11" x14ac:dyDescent="0.2">
      <c r="A274" s="392" t="s">
        <v>405</v>
      </c>
      <c r="B274" s="110">
        <v>9383000</v>
      </c>
      <c r="C274" s="307">
        <v>9383000</v>
      </c>
      <c r="D274" s="307">
        <v>7995671</v>
      </c>
      <c r="E274" s="84">
        <f t="shared" si="34"/>
        <v>85.21444101033785</v>
      </c>
      <c r="F274" s="141">
        <v>100868</v>
      </c>
      <c r="G274" s="246" t="s">
        <v>62</v>
      </c>
    </row>
    <row r="275" spans="1:11" x14ac:dyDescent="0.2">
      <c r="A275" s="392" t="s">
        <v>304</v>
      </c>
      <c r="B275" s="110">
        <v>1000000</v>
      </c>
      <c r="C275" s="307">
        <v>1000000</v>
      </c>
      <c r="D275" s="307">
        <v>0</v>
      </c>
      <c r="E275" s="84">
        <f t="shared" si="34"/>
        <v>0</v>
      </c>
      <c r="F275" s="141">
        <v>100869</v>
      </c>
      <c r="G275" s="246" t="s">
        <v>62</v>
      </c>
    </row>
    <row r="276" spans="1:11" x14ac:dyDescent="0.2">
      <c r="A276" s="392" t="s">
        <v>305</v>
      </c>
      <c r="B276" s="110">
        <v>1900000</v>
      </c>
      <c r="C276" s="307">
        <v>3850000</v>
      </c>
      <c r="D276" s="307">
        <v>3791194</v>
      </c>
      <c r="E276" s="84">
        <f t="shared" si="34"/>
        <v>98.472571428571428</v>
      </c>
      <c r="F276" s="141">
        <v>100870</v>
      </c>
      <c r="G276" s="246" t="s">
        <v>62</v>
      </c>
    </row>
    <row r="277" spans="1:11" x14ac:dyDescent="0.2">
      <c r="A277" s="392" t="s">
        <v>306</v>
      </c>
      <c r="B277" s="110">
        <v>2400000</v>
      </c>
      <c r="C277" s="307">
        <v>2400000</v>
      </c>
      <c r="D277" s="307">
        <v>2104972</v>
      </c>
      <c r="E277" s="84">
        <f t="shared" si="34"/>
        <v>87.707166666666666</v>
      </c>
      <c r="F277" s="141">
        <v>100871</v>
      </c>
      <c r="G277" s="246" t="s">
        <v>62</v>
      </c>
    </row>
    <row r="278" spans="1:11" ht="13.5" thickBot="1" x14ac:dyDescent="0.25">
      <c r="A278" s="436" t="s">
        <v>406</v>
      </c>
      <c r="B278" s="305">
        <v>0</v>
      </c>
      <c r="C278" s="309">
        <v>1000000</v>
      </c>
      <c r="D278" s="309">
        <v>780000</v>
      </c>
      <c r="E278" s="300">
        <f t="shared" si="34"/>
        <v>78</v>
      </c>
      <c r="F278" s="141">
        <v>100890</v>
      </c>
      <c r="G278" s="246" t="s">
        <v>62</v>
      </c>
    </row>
    <row r="279" spans="1:11" s="35" customFormat="1" ht="13.5" thickTop="1" x14ac:dyDescent="0.2">
      <c r="E279" s="90"/>
      <c r="F279" s="138"/>
      <c r="G279" s="94"/>
      <c r="H279" s="94"/>
    </row>
    <row r="280" spans="1:11" s="35" customFormat="1" ht="15.75" thickBot="1" x14ac:dyDescent="0.25">
      <c r="A280" s="95" t="s">
        <v>48</v>
      </c>
      <c r="B280" s="27"/>
      <c r="C280" s="27"/>
      <c r="D280" s="27"/>
      <c r="E280" s="383" t="s">
        <v>18</v>
      </c>
      <c r="F280" s="138"/>
      <c r="G280" s="94"/>
      <c r="H280" s="252"/>
      <c r="I280" s="278"/>
      <c r="J280" s="278"/>
      <c r="K280" s="278"/>
    </row>
    <row r="281" spans="1:11" s="34" customFormat="1" ht="19.5" thickTop="1" thickBot="1" x14ac:dyDescent="0.3">
      <c r="A281" s="76" t="s">
        <v>5</v>
      </c>
      <c r="B281" s="77" t="s">
        <v>0</v>
      </c>
      <c r="C281" s="78" t="s">
        <v>1</v>
      </c>
      <c r="D281" s="79" t="s">
        <v>4</v>
      </c>
      <c r="E281" s="80" t="s">
        <v>6</v>
      </c>
      <c r="F281" s="64"/>
      <c r="G281" s="103"/>
      <c r="H281" s="103"/>
    </row>
    <row r="282" spans="1:11" s="35" customFormat="1" ht="15.75" thickTop="1" x14ac:dyDescent="0.2">
      <c r="A282" s="81" t="s">
        <v>10</v>
      </c>
      <c r="B282" s="106">
        <f>SUM(B283)</f>
        <v>0</v>
      </c>
      <c r="C282" s="106">
        <f>SUM(C283)</f>
        <v>1200000</v>
      </c>
      <c r="D282" s="106">
        <f>SUM(D283)</f>
        <v>1200000</v>
      </c>
      <c r="E282" s="96">
        <f>D282/C282*100</f>
        <v>100</v>
      </c>
      <c r="F282" s="138"/>
      <c r="G282" s="94"/>
      <c r="H282" s="94"/>
    </row>
    <row r="283" spans="1:11" s="35" customFormat="1" ht="26.25" thickBot="1" x14ac:dyDescent="0.25">
      <c r="A283" s="440" t="s">
        <v>316</v>
      </c>
      <c r="B283" s="389">
        <v>0</v>
      </c>
      <c r="C283" s="299">
        <v>1200000</v>
      </c>
      <c r="D283" s="299">
        <v>1200000</v>
      </c>
      <c r="E283" s="300">
        <f t="shared" ref="E283" si="35">D283/C283*100</f>
        <v>100</v>
      </c>
      <c r="F283" s="138"/>
      <c r="G283" s="85" t="s">
        <v>317</v>
      </c>
      <c r="H283" s="94"/>
    </row>
    <row r="284" spans="1:11" s="35" customFormat="1" ht="13.5" thickTop="1" x14ac:dyDescent="0.2">
      <c r="B284" s="151"/>
      <c r="C284" s="151"/>
      <c r="D284" s="151"/>
      <c r="E284" s="90"/>
      <c r="F284" s="138"/>
      <c r="G284" s="94"/>
      <c r="H284" s="94"/>
    </row>
    <row r="285" spans="1:11" s="35" customFormat="1" ht="18.75" thickBot="1" x14ac:dyDescent="0.25">
      <c r="A285" s="100" t="s">
        <v>31</v>
      </c>
      <c r="B285" s="101">
        <f>SUM(B266,B247,B282)</f>
        <v>53824000</v>
      </c>
      <c r="C285" s="101">
        <f>SUM(C266,C247,C282)</f>
        <v>100951450.18000001</v>
      </c>
      <c r="D285" s="101">
        <f>SUM(D266,D247,D282)</f>
        <v>83390396.450000003</v>
      </c>
      <c r="E285" s="102">
        <f>D285/C285*100</f>
        <v>82.60445620277072</v>
      </c>
      <c r="F285" s="138"/>
      <c r="G285" s="94"/>
      <c r="H285" s="94"/>
    </row>
    <row r="286" spans="1:11" s="35" customFormat="1" ht="13.5" thickTop="1" x14ac:dyDescent="0.2">
      <c r="E286" s="90"/>
      <c r="F286" s="138"/>
      <c r="G286" s="94"/>
      <c r="H286" s="94"/>
    </row>
    <row r="287" spans="1:11" ht="18" x14ac:dyDescent="0.25">
      <c r="A287" s="71" t="s">
        <v>186</v>
      </c>
      <c r="F287" s="72"/>
    </row>
    <row r="288" spans="1:11" s="98" customFormat="1" ht="15.75" thickBot="1" x14ac:dyDescent="0.3">
      <c r="A288" s="74" t="s">
        <v>199</v>
      </c>
      <c r="B288" s="27"/>
      <c r="C288" s="27"/>
      <c r="D288" s="27"/>
      <c r="E288" s="75" t="s">
        <v>18</v>
      </c>
      <c r="F288" s="142"/>
      <c r="G288" s="97"/>
      <c r="H288" s="97"/>
    </row>
    <row r="289" spans="1:11" ht="14.25" thickTop="1" thickBot="1" x14ac:dyDescent="0.25">
      <c r="A289" s="76" t="s">
        <v>5</v>
      </c>
      <c r="B289" s="77" t="s">
        <v>0</v>
      </c>
      <c r="C289" s="78" t="s">
        <v>1</v>
      </c>
      <c r="D289" s="79" t="s">
        <v>4</v>
      </c>
      <c r="E289" s="80" t="s">
        <v>6</v>
      </c>
      <c r="F289" s="72"/>
    </row>
    <row r="290" spans="1:11" s="109" customFormat="1" ht="15.75" thickTop="1" x14ac:dyDescent="0.2">
      <c r="A290" s="81" t="s">
        <v>53</v>
      </c>
      <c r="B290" s="106">
        <f>SUM(B291:B291)</f>
        <v>0</v>
      </c>
      <c r="C290" s="106">
        <f>SUM(C291:C291)</f>
        <v>385000</v>
      </c>
      <c r="D290" s="106">
        <f>SUM(D291:D291)</f>
        <v>361875.5</v>
      </c>
      <c r="E290" s="96">
        <f t="shared" ref="E290:E291" si="36">D290/C290*100</f>
        <v>93.993636363636369</v>
      </c>
      <c r="F290" s="166"/>
      <c r="G290" s="73" t="s">
        <v>340</v>
      </c>
      <c r="H290" s="73" t="s">
        <v>340</v>
      </c>
      <c r="I290" s="361">
        <f>B290</f>
        <v>0</v>
      </c>
      <c r="J290" s="361">
        <f t="shared" ref="J290:K290" si="37">C290</f>
        <v>385000</v>
      </c>
      <c r="K290" s="361">
        <f t="shared" si="37"/>
        <v>361875.5</v>
      </c>
    </row>
    <row r="291" spans="1:11" x14ac:dyDescent="0.2">
      <c r="A291" s="392" t="s">
        <v>341</v>
      </c>
      <c r="B291" s="303">
        <v>0</v>
      </c>
      <c r="C291" s="303">
        <v>385000</v>
      </c>
      <c r="D291" s="303">
        <v>361875.5</v>
      </c>
      <c r="E291" s="84">
        <f t="shared" si="36"/>
        <v>93.993636363636369</v>
      </c>
      <c r="F291" s="72"/>
    </row>
    <row r="292" spans="1:11" ht="15" x14ac:dyDescent="0.2">
      <c r="A292" s="81" t="s">
        <v>54</v>
      </c>
      <c r="B292" s="106">
        <f>SUM(B293:B295)</f>
        <v>0</v>
      </c>
      <c r="C292" s="106">
        <f>SUM(C293:C295)</f>
        <v>1766535</v>
      </c>
      <c r="D292" s="106">
        <f>SUM(D293:D295)</f>
        <v>1666164.1400000001</v>
      </c>
      <c r="E292" s="96">
        <f t="shared" ref="E292:E301" si="38">D292/C292*100</f>
        <v>94.318207111662105</v>
      </c>
      <c r="F292" s="72"/>
      <c r="G292" s="73" t="s">
        <v>148</v>
      </c>
      <c r="H292" s="73" t="s">
        <v>148</v>
      </c>
      <c r="I292" s="26">
        <f>B292</f>
        <v>0</v>
      </c>
      <c r="J292" s="26">
        <f t="shared" ref="J292:K292" si="39">C292</f>
        <v>1766535</v>
      </c>
      <c r="K292" s="26">
        <f t="shared" si="39"/>
        <v>1666164.1400000001</v>
      </c>
    </row>
    <row r="293" spans="1:11" x14ac:dyDescent="0.2">
      <c r="A293" s="392" t="s">
        <v>335</v>
      </c>
      <c r="B293" s="303">
        <v>0</v>
      </c>
      <c r="C293" s="303">
        <v>1400000</v>
      </c>
      <c r="D293" s="303">
        <v>1400000</v>
      </c>
      <c r="E293" s="84">
        <f t="shared" si="38"/>
        <v>100</v>
      </c>
      <c r="F293" s="72" t="s">
        <v>337</v>
      </c>
      <c r="G293" s="362"/>
      <c r="I293" s="26"/>
      <c r="J293" s="26"/>
      <c r="K293" s="26"/>
    </row>
    <row r="294" spans="1:11" x14ac:dyDescent="0.2">
      <c r="A294" s="392" t="s">
        <v>190</v>
      </c>
      <c r="B294" s="303">
        <v>0</v>
      </c>
      <c r="C294" s="303">
        <v>301535</v>
      </c>
      <c r="D294" s="303">
        <v>201471.14</v>
      </c>
      <c r="E294" s="84">
        <f t="shared" si="38"/>
        <v>66.815175684414754</v>
      </c>
      <c r="F294" s="72" t="s">
        <v>336</v>
      </c>
      <c r="G294" s="362"/>
      <c r="I294" s="26"/>
      <c r="J294" s="26"/>
      <c r="K294" s="26"/>
    </row>
    <row r="295" spans="1:11" x14ac:dyDescent="0.2">
      <c r="A295" s="392" t="s">
        <v>338</v>
      </c>
      <c r="B295" s="303">
        <v>0</v>
      </c>
      <c r="C295" s="303">
        <v>65000</v>
      </c>
      <c r="D295" s="303">
        <v>64693</v>
      </c>
      <c r="E295" s="84">
        <f t="shared" si="38"/>
        <v>99.527692307692305</v>
      </c>
      <c r="F295" s="72" t="s">
        <v>339</v>
      </c>
      <c r="H295" s="73" t="s">
        <v>364</v>
      </c>
      <c r="I295" s="26">
        <f>B296</f>
        <v>0</v>
      </c>
      <c r="J295" s="26">
        <f t="shared" ref="J295:K295" si="40">C296</f>
        <v>100000</v>
      </c>
      <c r="K295" s="26">
        <f t="shared" si="40"/>
        <v>98010</v>
      </c>
    </row>
    <row r="296" spans="1:11" ht="15" x14ac:dyDescent="0.2">
      <c r="A296" s="81" t="s">
        <v>127</v>
      </c>
      <c r="B296" s="106">
        <f>SUM(B297:B297)</f>
        <v>0</v>
      </c>
      <c r="C296" s="106">
        <f>SUM(C297:C297)</f>
        <v>100000</v>
      </c>
      <c r="D296" s="106">
        <f>SUM(D297:D297)</f>
        <v>98010</v>
      </c>
      <c r="E296" s="96">
        <f>D296/C296*100</f>
        <v>98.009999999999991</v>
      </c>
      <c r="F296" s="72"/>
      <c r="H296" s="73" t="s">
        <v>149</v>
      </c>
      <c r="I296" s="26">
        <f>B298</f>
        <v>0</v>
      </c>
      <c r="J296" s="26">
        <f t="shared" ref="J296:K296" si="41">C298</f>
        <v>1287120</v>
      </c>
      <c r="K296" s="26">
        <f t="shared" si="41"/>
        <v>87120</v>
      </c>
    </row>
    <row r="297" spans="1:11" x14ac:dyDescent="0.2">
      <c r="A297" s="392" t="s">
        <v>332</v>
      </c>
      <c r="B297" s="303">
        <v>0</v>
      </c>
      <c r="C297" s="303">
        <v>100000</v>
      </c>
      <c r="D297" s="303">
        <v>98010</v>
      </c>
      <c r="E297" s="84">
        <f t="shared" si="38"/>
        <v>98.009999999999991</v>
      </c>
      <c r="F297" s="72">
        <v>100921</v>
      </c>
      <c r="G297" s="73" t="s">
        <v>364</v>
      </c>
      <c r="H297" s="85" t="s">
        <v>150</v>
      </c>
      <c r="I297" s="361">
        <f>B303</f>
        <v>1627000</v>
      </c>
      <c r="J297" s="361">
        <f t="shared" ref="J297:K297" si="42">C303</f>
        <v>1627000</v>
      </c>
      <c r="K297" s="361">
        <f t="shared" si="42"/>
        <v>1624572</v>
      </c>
    </row>
    <row r="298" spans="1:11" ht="15" x14ac:dyDescent="0.25">
      <c r="A298" s="81" t="s">
        <v>55</v>
      </c>
      <c r="B298" s="106">
        <f>SUM(B299:B300)</f>
        <v>0</v>
      </c>
      <c r="C298" s="106">
        <f t="shared" ref="C298:D298" si="43">SUM(C299:C300)</f>
        <v>1287120</v>
      </c>
      <c r="D298" s="106">
        <f t="shared" si="43"/>
        <v>87120</v>
      </c>
      <c r="E298" s="96">
        <f t="shared" si="38"/>
        <v>6.7685996643669588</v>
      </c>
      <c r="F298" s="72"/>
      <c r="G298" s="73" t="s">
        <v>149</v>
      </c>
      <c r="I298" s="358">
        <f>SUM(I290:I297)</f>
        <v>1627000</v>
      </c>
      <c r="J298" s="358">
        <f t="shared" ref="J298:K298" si="44">SUM(J290:J297)</f>
        <v>5165655</v>
      </c>
      <c r="K298" s="358">
        <f t="shared" si="44"/>
        <v>3837741.64</v>
      </c>
    </row>
    <row r="299" spans="1:11" ht="15" x14ac:dyDescent="0.25">
      <c r="A299" s="392" t="s">
        <v>333</v>
      </c>
      <c r="B299" s="303">
        <v>0</v>
      </c>
      <c r="C299" s="303">
        <v>1200000</v>
      </c>
      <c r="D299" s="303">
        <v>0</v>
      </c>
      <c r="E299" s="84">
        <f t="shared" si="38"/>
        <v>0</v>
      </c>
      <c r="F299" s="72"/>
      <c r="I299" s="358"/>
      <c r="J299" s="358"/>
      <c r="K299" s="358"/>
    </row>
    <row r="300" spans="1:11" x14ac:dyDescent="0.2">
      <c r="A300" s="392" t="s">
        <v>334</v>
      </c>
      <c r="B300" s="303">
        <v>0</v>
      </c>
      <c r="C300" s="303">
        <v>87120</v>
      </c>
      <c r="D300" s="303">
        <v>87120</v>
      </c>
      <c r="E300" s="84">
        <f t="shared" si="38"/>
        <v>100</v>
      </c>
      <c r="F300" s="72"/>
    </row>
    <row r="301" spans="1:11" hidden="1" x14ac:dyDescent="0.2">
      <c r="A301" s="313"/>
      <c r="B301" s="301"/>
      <c r="C301" s="301"/>
      <c r="D301" s="301"/>
      <c r="E301" s="84" t="e">
        <f t="shared" si="38"/>
        <v>#DIV/0!</v>
      </c>
      <c r="F301" s="72"/>
      <c r="H301" s="73" t="s">
        <v>151</v>
      </c>
      <c r="I301" s="26" t="e">
        <f>#REF!</f>
        <v>#REF!</v>
      </c>
      <c r="J301" s="26" t="e">
        <f>#REF!</f>
        <v>#REF!</v>
      </c>
      <c r="K301" s="26" t="e">
        <f>#REF!</f>
        <v>#REF!</v>
      </c>
    </row>
    <row r="302" spans="1:11" ht="15" hidden="1" x14ac:dyDescent="0.25">
      <c r="A302" s="81"/>
      <c r="B302" s="106"/>
      <c r="C302" s="106"/>
      <c r="D302" s="106"/>
      <c r="E302" s="96" t="e">
        <f>D302/C302*100</f>
        <v>#DIV/0!</v>
      </c>
      <c r="F302" s="167"/>
      <c r="G302" s="73" t="s">
        <v>160</v>
      </c>
      <c r="I302" s="276" t="e">
        <f>SUM(I292:I301)</f>
        <v>#REF!</v>
      </c>
      <c r="J302" s="276" t="e">
        <f>SUM(J292:J301)</f>
        <v>#REF!</v>
      </c>
      <c r="K302" s="276" t="e">
        <f>SUM(K292:K301)</f>
        <v>#REF!</v>
      </c>
    </row>
    <row r="303" spans="1:11" ht="15" x14ac:dyDescent="0.2">
      <c r="A303" s="81" t="s">
        <v>56</v>
      </c>
      <c r="B303" s="106">
        <f>SUM(B304)</f>
        <v>1627000</v>
      </c>
      <c r="C303" s="106">
        <f t="shared" ref="C303:D303" si="45">SUM(C304)</f>
        <v>1627000</v>
      </c>
      <c r="D303" s="106">
        <f t="shared" si="45"/>
        <v>1624572</v>
      </c>
      <c r="E303" s="96">
        <f>D303/C303*100</f>
        <v>99.850768285187456</v>
      </c>
      <c r="F303" s="72"/>
      <c r="G303" s="73" t="s">
        <v>159</v>
      </c>
    </row>
    <row r="304" spans="1:11" ht="13.5" thickBot="1" x14ac:dyDescent="0.25">
      <c r="A304" s="436" t="s">
        <v>187</v>
      </c>
      <c r="B304" s="305">
        <v>1627000</v>
      </c>
      <c r="C304" s="305">
        <v>1627000</v>
      </c>
      <c r="D304" s="305">
        <v>1624572</v>
      </c>
      <c r="E304" s="300">
        <f>D304/C304*100</f>
        <v>99.850768285187456</v>
      </c>
      <c r="F304" s="72"/>
    </row>
    <row r="305" spans="1:11" ht="13.5" thickTop="1" x14ac:dyDescent="0.2">
      <c r="A305" s="104"/>
      <c r="B305" s="105"/>
      <c r="C305" s="105"/>
      <c r="D305" s="105"/>
      <c r="E305" s="90"/>
    </row>
    <row r="306" spans="1:11" ht="18.75" thickBot="1" x14ac:dyDescent="0.25">
      <c r="A306" s="100" t="s">
        <v>57</v>
      </c>
      <c r="B306" s="101">
        <f>SUM(B290,B292,B296,B298,B303)</f>
        <v>1627000</v>
      </c>
      <c r="C306" s="101">
        <f>SUM(C290,C292,C296,C298,C303)</f>
        <v>5165655</v>
      </c>
      <c r="D306" s="101">
        <f>SUM(D290,D292,D296,D298,D303)</f>
        <v>3837741.64</v>
      </c>
      <c r="E306" s="102">
        <f>D306/C306*100</f>
        <v>74.293417582087855</v>
      </c>
    </row>
    <row r="307" spans="1:11" ht="13.5" thickTop="1" x14ac:dyDescent="0.2">
      <c r="F307" s="146"/>
    </row>
    <row r="308" spans="1:11" x14ac:dyDescent="0.2">
      <c r="B308" s="26"/>
      <c r="F308" s="161"/>
    </row>
    <row r="309" spans="1:11" ht="14.25" x14ac:dyDescent="0.2">
      <c r="A309" s="114" t="s">
        <v>12</v>
      </c>
      <c r="B309" s="114"/>
      <c r="C309" s="114"/>
      <c r="D309" s="114"/>
      <c r="E309" s="115"/>
      <c r="F309" s="162"/>
    </row>
    <row r="310" spans="1:11" ht="14.25" x14ac:dyDescent="0.2">
      <c r="A310" s="116" t="s">
        <v>16</v>
      </c>
      <c r="B310" s="117">
        <f>SUM(B72)</f>
        <v>79000</v>
      </c>
      <c r="C310" s="117">
        <f>SUM(C72)</f>
        <v>134423256.08999997</v>
      </c>
      <c r="D310" s="117">
        <f>SUM(D72)</f>
        <v>113614744.73</v>
      </c>
      <c r="E310" s="118">
        <f t="shared" ref="E310:E316" si="46">D310/C310*100</f>
        <v>84.520155243027205</v>
      </c>
      <c r="F310" s="163"/>
    </row>
    <row r="311" spans="1:11" ht="14.25" x14ac:dyDescent="0.2">
      <c r="A311" s="116" t="s">
        <v>15</v>
      </c>
      <c r="B311" s="117">
        <f>SUM(B123)</f>
        <v>27171000</v>
      </c>
      <c r="C311" s="117">
        <f>SUM(C123)</f>
        <v>121736862.58000001</v>
      </c>
      <c r="D311" s="117">
        <f>SUM(D123)</f>
        <v>107466610.55</v>
      </c>
      <c r="E311" s="118">
        <f t="shared" si="46"/>
        <v>88.277788890261363</v>
      </c>
      <c r="F311" s="164"/>
    </row>
    <row r="312" spans="1:11" ht="14.25" x14ac:dyDescent="0.2">
      <c r="A312" s="116" t="s">
        <v>13</v>
      </c>
      <c r="B312" s="117">
        <f>SUM(B218)</f>
        <v>115179000</v>
      </c>
      <c r="C312" s="117">
        <f>SUM(C218)</f>
        <v>101171932.50999999</v>
      </c>
      <c r="D312" s="117">
        <f>SUM(D218)</f>
        <v>87764160</v>
      </c>
      <c r="E312" s="118">
        <f t="shared" si="46"/>
        <v>86.747537407497134</v>
      </c>
    </row>
    <row r="313" spans="1:11" ht="14.25" x14ac:dyDescent="0.2">
      <c r="A313" s="116" t="s">
        <v>17</v>
      </c>
      <c r="B313" s="117">
        <f>SUM(B241)</f>
        <v>3499000</v>
      </c>
      <c r="C313" s="117">
        <f>SUM(C241)</f>
        <v>6710050.3199999994</v>
      </c>
      <c r="D313" s="117">
        <f>SUM(D241)</f>
        <v>6451056.0599999996</v>
      </c>
      <c r="E313" s="118">
        <f t="shared" si="46"/>
        <v>96.140203908336716</v>
      </c>
    </row>
    <row r="314" spans="1:11" ht="15" thickBot="1" x14ac:dyDescent="0.25">
      <c r="A314" s="116" t="s">
        <v>14</v>
      </c>
      <c r="B314" s="117">
        <f>SUM(B285)</f>
        <v>53824000</v>
      </c>
      <c r="C314" s="117">
        <f>SUM(C285)</f>
        <v>100951450.18000001</v>
      </c>
      <c r="D314" s="117">
        <f>SUM(D285)</f>
        <v>83390396.450000003</v>
      </c>
      <c r="E314" s="118">
        <f t="shared" si="46"/>
        <v>82.60445620277072</v>
      </c>
      <c r="G314" s="293"/>
      <c r="H314" s="293"/>
      <c r="I314" s="37"/>
      <c r="J314" s="37"/>
      <c r="K314" s="37"/>
    </row>
    <row r="315" spans="1:11" ht="15" thickTop="1" x14ac:dyDescent="0.2">
      <c r="A315" s="116" t="s">
        <v>58</v>
      </c>
      <c r="B315" s="117">
        <f>SUM(B306)</f>
        <v>1627000</v>
      </c>
      <c r="C315" s="117">
        <f>SUM(C306)</f>
        <v>5165655</v>
      </c>
      <c r="D315" s="117">
        <f>SUM(D306)</f>
        <v>3837741.64</v>
      </c>
      <c r="E315" s="118">
        <f t="shared" si="46"/>
        <v>74.293417582087855</v>
      </c>
    </row>
    <row r="316" spans="1:11" ht="15.75" thickBot="1" x14ac:dyDescent="0.25">
      <c r="A316" s="119" t="s">
        <v>3</v>
      </c>
      <c r="B316" s="120">
        <f>SUM(B310:B315)</f>
        <v>201379000</v>
      </c>
      <c r="C316" s="120">
        <f>SUM(C310:C315)</f>
        <v>470159206.67999995</v>
      </c>
      <c r="D316" s="120">
        <f>SUM(D310:D315)</f>
        <v>402524709.42999995</v>
      </c>
      <c r="E316" s="121">
        <f t="shared" si="46"/>
        <v>85.61455432775702</v>
      </c>
    </row>
    <row r="317" spans="1:11" ht="13.5" thickTop="1" x14ac:dyDescent="0.2">
      <c r="F317" s="15"/>
      <c r="G317" s="15"/>
      <c r="H317" s="284"/>
      <c r="I317" s="285"/>
      <c r="J317" s="285"/>
      <c r="K317" s="285"/>
    </row>
    <row r="318" spans="1:11" x14ac:dyDescent="0.2">
      <c r="F318" s="15"/>
      <c r="G318" s="15"/>
      <c r="H318" s="375" t="s">
        <v>169</v>
      </c>
      <c r="I318" s="412">
        <f>I69+I103+I258</f>
        <v>0</v>
      </c>
      <c r="J318" s="412">
        <f>J69+J103+J258</f>
        <v>142930283.08999997</v>
      </c>
      <c r="K318" s="412">
        <f>K69+K103+K258</f>
        <v>127431934.38</v>
      </c>
    </row>
    <row r="319" spans="1:11" x14ac:dyDescent="0.2">
      <c r="F319" s="15"/>
      <c r="G319" s="15"/>
      <c r="H319" s="282" t="s">
        <v>109</v>
      </c>
      <c r="I319" s="283">
        <f>I67+I159</f>
        <v>0</v>
      </c>
      <c r="J319" s="283">
        <f>J67+J159</f>
        <v>844450</v>
      </c>
      <c r="K319" s="283">
        <f>K67+K159</f>
        <v>587561</v>
      </c>
    </row>
    <row r="320" spans="1:11" x14ac:dyDescent="0.2">
      <c r="A320" s="272"/>
      <c r="B320" s="420"/>
      <c r="C320" s="420"/>
      <c r="D320" s="420"/>
      <c r="E320" s="18"/>
      <c r="F320" s="15"/>
      <c r="G320" s="15"/>
      <c r="H320" s="246" t="s">
        <v>62</v>
      </c>
      <c r="I320" s="414">
        <f>I68+I102+I160+I240+I257+I295</f>
        <v>103336000</v>
      </c>
      <c r="J320" s="414">
        <f>J68+J102+J160+J240+J257+J295</f>
        <v>179270268.94</v>
      </c>
      <c r="K320" s="414">
        <f>K68+K102+K160+K240+K257+K295</f>
        <v>159398109.56999999</v>
      </c>
    </row>
    <row r="321" spans="1:11" x14ac:dyDescent="0.2">
      <c r="A321" s="421"/>
      <c r="B321" s="422"/>
      <c r="C321" s="422"/>
      <c r="D321" s="422"/>
      <c r="E321" s="18"/>
      <c r="F321" s="15"/>
      <c r="G321" s="15"/>
      <c r="H321" s="379" t="s">
        <v>110</v>
      </c>
      <c r="I321" s="415" t="e">
        <f>I70+I104+#REF!+I259</f>
        <v>#REF!</v>
      </c>
      <c r="J321" s="415" t="e">
        <f>J70+J104+#REF!+J259</f>
        <v>#REF!</v>
      </c>
      <c r="K321" s="415" t="e">
        <f>K70+K104+#REF!+K259</f>
        <v>#REF!</v>
      </c>
    </row>
    <row r="322" spans="1:11" x14ac:dyDescent="0.2">
      <c r="A322" s="421"/>
      <c r="B322" s="422"/>
      <c r="C322" s="422"/>
      <c r="D322" s="422"/>
      <c r="E322" s="18"/>
      <c r="F322" s="15"/>
      <c r="G322" s="15"/>
      <c r="H322" s="245" t="s">
        <v>145</v>
      </c>
      <c r="I322" s="416">
        <f>I161</f>
        <v>0</v>
      </c>
      <c r="J322" s="416">
        <f>J161</f>
        <v>41667825.509999998</v>
      </c>
      <c r="K322" s="416">
        <f>K161</f>
        <v>29962899.16</v>
      </c>
    </row>
    <row r="323" spans="1:11" x14ac:dyDescent="0.2">
      <c r="A323" s="421"/>
      <c r="B323" s="422"/>
      <c r="C323" s="422"/>
      <c r="D323" s="422"/>
      <c r="E323" s="18"/>
      <c r="F323" s="27"/>
      <c r="G323" s="27"/>
      <c r="H323" s="85" t="s">
        <v>160</v>
      </c>
      <c r="I323" s="419">
        <f>I260</f>
        <v>0</v>
      </c>
      <c r="J323" s="419">
        <f t="shared" ref="J323:K323" si="47">J260</f>
        <v>1200000</v>
      </c>
      <c r="K323" s="419">
        <f t="shared" si="47"/>
        <v>1200000</v>
      </c>
    </row>
    <row r="324" spans="1:11" x14ac:dyDescent="0.2">
      <c r="A324" s="271"/>
      <c r="B324" s="170"/>
      <c r="C324" s="170"/>
      <c r="D324" s="170"/>
      <c r="E324" s="18"/>
      <c r="F324" s="27"/>
      <c r="G324" s="27"/>
      <c r="H324" s="252" t="s">
        <v>82</v>
      </c>
      <c r="I324" s="417" t="e">
        <f>#REF!+I105+I162+#REF!</f>
        <v>#REF!</v>
      </c>
      <c r="J324" s="417" t="e">
        <f>#REF!+J105+J162+#REF!</f>
        <v>#REF!</v>
      </c>
      <c r="K324" s="417" t="e">
        <f>#REF!+K105+K162+#REF!</f>
        <v>#REF!</v>
      </c>
    </row>
    <row r="325" spans="1:11" x14ac:dyDescent="0.2">
      <c r="A325" s="271"/>
      <c r="B325" s="170"/>
      <c r="C325" s="170"/>
      <c r="D325" s="170"/>
      <c r="E325" s="18"/>
      <c r="F325" s="27"/>
      <c r="G325" s="27"/>
      <c r="H325" s="73" t="s">
        <v>340</v>
      </c>
      <c r="I325" s="418">
        <f>I290</f>
        <v>0</v>
      </c>
      <c r="J325" s="418">
        <f t="shared" ref="J325:K325" si="48">J290</f>
        <v>385000</v>
      </c>
      <c r="K325" s="418">
        <f t="shared" si="48"/>
        <v>361875.5</v>
      </c>
    </row>
    <row r="326" spans="1:11" x14ac:dyDescent="0.2">
      <c r="E326" s="27"/>
      <c r="F326" s="27"/>
      <c r="G326" s="27"/>
      <c r="H326" s="73" t="s">
        <v>148</v>
      </c>
      <c r="I326" s="418">
        <f>I292</f>
        <v>0</v>
      </c>
      <c r="J326" s="418">
        <f t="shared" ref="J326:K326" si="49">J292</f>
        <v>1766535</v>
      </c>
      <c r="K326" s="418">
        <f t="shared" si="49"/>
        <v>1666164.1400000001</v>
      </c>
    </row>
    <row r="327" spans="1:11" x14ac:dyDescent="0.2">
      <c r="E327" s="27"/>
      <c r="F327" s="27"/>
      <c r="G327" s="27"/>
      <c r="H327" s="73" t="s">
        <v>149</v>
      </c>
      <c r="I327" s="418">
        <f>I296</f>
        <v>0</v>
      </c>
      <c r="J327" s="418">
        <f t="shared" ref="J327:K327" si="50">J296</f>
        <v>1287120</v>
      </c>
      <c r="K327" s="418">
        <f t="shared" si="50"/>
        <v>87120</v>
      </c>
    </row>
    <row r="328" spans="1:11" x14ac:dyDescent="0.2">
      <c r="E328" s="27"/>
      <c r="F328" s="27"/>
      <c r="G328" s="27"/>
      <c r="H328" s="73" t="s">
        <v>150</v>
      </c>
      <c r="I328" s="418">
        <f>I297</f>
        <v>1627000</v>
      </c>
      <c r="J328" s="418">
        <f t="shared" ref="J328:K328" si="51">J297</f>
        <v>1627000</v>
      </c>
      <c r="K328" s="418">
        <f t="shared" si="51"/>
        <v>1624572</v>
      </c>
    </row>
    <row r="329" spans="1:11" x14ac:dyDescent="0.2">
      <c r="E329" s="27"/>
      <c r="F329" s="27"/>
      <c r="G329" s="27"/>
      <c r="I329" s="26"/>
      <c r="J329" s="26"/>
      <c r="K329" s="26"/>
    </row>
    <row r="330" spans="1:11" ht="15" x14ac:dyDescent="0.25">
      <c r="E330" s="27"/>
      <c r="I330" s="276" t="e">
        <f>SUM(I318:I329)</f>
        <v>#REF!</v>
      </c>
      <c r="J330" s="276" t="e">
        <f>SUM(J318:J329)</f>
        <v>#REF!</v>
      </c>
      <c r="K330" s="276" t="e">
        <f>SUM(K318:K329)</f>
        <v>#REF!</v>
      </c>
    </row>
    <row r="331" spans="1:11" x14ac:dyDescent="0.2">
      <c r="E331" s="27"/>
    </row>
    <row r="332" spans="1:11" x14ac:dyDescent="0.2">
      <c r="E332" s="27"/>
    </row>
  </sheetData>
  <pageMargins left="0.78740157480314965" right="0.78740157480314965" top="0.98425196850393704" bottom="0.98425196850393704" header="0.51181102362204722" footer="0.51181102362204722"/>
  <pageSetup paperSize="9" scale="63" firstPageNumber="186" fitToHeight="5" orientation="portrait" r:id="rId1"/>
  <headerFooter alignWithMargins="0">
    <oddFooter>&amp;L&amp;"Arial,Kurzíva"Zastupitelstvo Olomouckého kraje 26.6.2015
4. - Rozpočet Olomouckého kraje 2014 - závěrečný účet 
Příloha č. 8: Přehled financování investičních akcí v roce 2014&amp;R&amp;"Arial,Kurzíva"Strana &amp;P (celkem 484)</oddFooter>
  </headerFooter>
  <rowBreaks count="4" manualBreakCount="4">
    <brk id="74" max="16383" man="1"/>
    <brk id="125" max="16383" man="1"/>
    <brk id="211" max="4" man="1"/>
    <brk id="286" max="4" man="1"/>
  </rowBreaks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89"/>
  <sheetViews>
    <sheetView showGridLines="0" view="pageBreakPreview" topLeftCell="A4" zoomScaleNormal="100" zoomScaleSheetLayoutView="100" workbookViewId="0">
      <selection activeCell="A42" sqref="A42"/>
    </sheetView>
  </sheetViews>
  <sheetFormatPr defaultRowHeight="12.75" x14ac:dyDescent="0.2"/>
  <cols>
    <col min="1" max="1" width="73.7109375" style="133" customWidth="1"/>
    <col min="2" max="2" width="15.28515625" style="134" customWidth="1"/>
    <col min="3" max="3" width="17.5703125" style="135" customWidth="1"/>
    <col min="4" max="4" width="17.28515625" style="133" customWidth="1"/>
    <col min="5" max="5" width="7.42578125" style="133" customWidth="1"/>
    <col min="6" max="6" width="12.5703125" style="136" customWidth="1"/>
    <col min="7" max="7" width="10.140625" style="155" bestFit="1" customWidth="1"/>
    <col min="8" max="8" width="16.140625" style="133" bestFit="1" customWidth="1"/>
    <col min="9" max="9" width="11.7109375" style="133" bestFit="1" customWidth="1"/>
    <col min="10" max="16384" width="9.140625" style="133"/>
  </cols>
  <sheetData>
    <row r="1" spans="1:8" s="67" customFormat="1" ht="18" x14ac:dyDescent="0.25">
      <c r="A1" s="64" t="s">
        <v>212</v>
      </c>
      <c r="B1" s="64"/>
      <c r="C1" s="64"/>
      <c r="D1" s="64"/>
      <c r="E1" s="64"/>
      <c r="F1" s="122"/>
      <c r="G1" s="155"/>
      <c r="H1" s="123"/>
    </row>
    <row r="2" spans="1:8" s="70" customFormat="1" ht="15.75" x14ac:dyDescent="0.25">
      <c r="A2" s="68" t="s">
        <v>196</v>
      </c>
      <c r="B2" s="69"/>
      <c r="C2" s="69"/>
      <c r="D2" s="69"/>
      <c r="E2" s="69"/>
      <c r="F2" s="125"/>
      <c r="G2" s="155"/>
      <c r="H2" s="126"/>
    </row>
    <row r="3" spans="1:8" s="129" customFormat="1" ht="15.75" x14ac:dyDescent="0.25">
      <c r="A3" s="127"/>
      <c r="B3" s="127"/>
      <c r="C3" s="127"/>
      <c r="D3" s="127"/>
      <c r="E3" s="124"/>
      <c r="F3" s="128"/>
      <c r="G3" s="156"/>
    </row>
    <row r="4" spans="1:8" s="27" customFormat="1" ht="18" x14ac:dyDescent="0.25">
      <c r="A4" s="71" t="s">
        <v>24</v>
      </c>
      <c r="E4" s="72"/>
      <c r="G4" s="155"/>
    </row>
    <row r="5" spans="1:8" s="27" customFormat="1" ht="15" customHeight="1" thickBot="1" x14ac:dyDescent="0.3">
      <c r="A5" s="74" t="s">
        <v>200</v>
      </c>
      <c r="E5" s="75" t="s">
        <v>18</v>
      </c>
      <c r="G5" s="155"/>
    </row>
    <row r="6" spans="1:8" s="27" customFormat="1" ht="27" customHeight="1" thickTop="1" thickBot="1" x14ac:dyDescent="0.25">
      <c r="A6" s="76" t="s">
        <v>5</v>
      </c>
      <c r="B6" s="77" t="s">
        <v>0</v>
      </c>
      <c r="C6" s="78" t="s">
        <v>1</v>
      </c>
      <c r="D6" s="79" t="s">
        <v>4</v>
      </c>
      <c r="E6" s="80" t="s">
        <v>6</v>
      </c>
      <c r="G6" s="155"/>
    </row>
    <row r="7" spans="1:8" ht="15.75" thickTop="1" x14ac:dyDescent="0.2">
      <c r="A7" s="81" t="s">
        <v>7</v>
      </c>
      <c r="B7" s="82">
        <f>SUM(B8:B34)</f>
        <v>0</v>
      </c>
      <c r="C7" s="82">
        <f>SUM(C8:C34)</f>
        <v>191723664.14999998</v>
      </c>
      <c r="D7" s="82">
        <f>SUM(D8:D34)</f>
        <v>157558764.40000001</v>
      </c>
      <c r="E7" s="131">
        <f>D7/C7*100</f>
        <v>82.18013415220868</v>
      </c>
      <c r="F7" s="132" t="s">
        <v>2</v>
      </c>
      <c r="G7" s="156" t="s">
        <v>60</v>
      </c>
    </row>
    <row r="8" spans="1:8" ht="12.75" customHeight="1" x14ac:dyDescent="0.2">
      <c r="A8" s="296" t="s">
        <v>85</v>
      </c>
      <c r="B8" s="297">
        <v>0</v>
      </c>
      <c r="C8" s="297">
        <f>305872.31+5199843.44</f>
        <v>5505715.75</v>
      </c>
      <c r="D8" s="297">
        <v>4988934.57</v>
      </c>
      <c r="E8" s="84">
        <f t="shared" ref="E8:E34" si="0">D8/C8*100</f>
        <v>90.613733010099551</v>
      </c>
      <c r="F8" s="242">
        <v>60001100134</v>
      </c>
      <c r="G8" s="158" t="s">
        <v>296</v>
      </c>
    </row>
    <row r="9" spans="1:8" ht="12.75" customHeight="1" x14ac:dyDescent="0.2">
      <c r="A9" s="296" t="s">
        <v>90</v>
      </c>
      <c r="B9" s="297">
        <v>0</v>
      </c>
      <c r="C9" s="297">
        <f>11247596.95+661623.36</f>
        <v>11909220.309999999</v>
      </c>
      <c r="D9" s="297">
        <v>9285553.1500000004</v>
      </c>
      <c r="E9" s="84">
        <f t="shared" si="0"/>
        <v>77.969446431376014</v>
      </c>
      <c r="F9" s="242">
        <v>60001100463</v>
      </c>
      <c r="G9" s="158" t="s">
        <v>296</v>
      </c>
    </row>
    <row r="10" spans="1:8" ht="12.75" customHeight="1" x14ac:dyDescent="0.2">
      <c r="A10" s="296" t="s">
        <v>91</v>
      </c>
      <c r="B10" s="297">
        <v>0</v>
      </c>
      <c r="C10" s="297">
        <f>763759.29+12983908.01</f>
        <v>13747667.300000001</v>
      </c>
      <c r="D10" s="297">
        <v>13568298.5</v>
      </c>
      <c r="E10" s="84">
        <f t="shared" si="0"/>
        <v>98.695278289139281</v>
      </c>
      <c r="F10" s="242">
        <v>60001100465</v>
      </c>
      <c r="G10" s="158" t="s">
        <v>296</v>
      </c>
    </row>
    <row r="11" spans="1:8" ht="12.75" customHeight="1" x14ac:dyDescent="0.2">
      <c r="A11" s="296" t="s">
        <v>92</v>
      </c>
      <c r="B11" s="297">
        <v>0</v>
      </c>
      <c r="C11" s="297">
        <f>4395590.55+258564.15</f>
        <v>4654154.7</v>
      </c>
      <c r="D11" s="297">
        <v>4565869.12</v>
      </c>
      <c r="E11" s="84">
        <f t="shared" si="0"/>
        <v>98.103080243550991</v>
      </c>
      <c r="F11" s="242">
        <v>60001100469</v>
      </c>
      <c r="G11" s="158" t="s">
        <v>296</v>
      </c>
    </row>
    <row r="12" spans="1:8" ht="12.75" customHeight="1" x14ac:dyDescent="0.2">
      <c r="A12" s="296" t="s">
        <v>157</v>
      </c>
      <c r="B12" s="297">
        <v>0</v>
      </c>
      <c r="C12" s="297">
        <f>610865.12+10384707.13</f>
        <v>10995572.25</v>
      </c>
      <c r="D12" s="297">
        <v>10470823.199999999</v>
      </c>
      <c r="E12" s="84">
        <f t="shared" si="0"/>
        <v>95.227633104770874</v>
      </c>
      <c r="F12" s="242">
        <v>60001100473</v>
      </c>
      <c r="G12" s="158" t="s">
        <v>296</v>
      </c>
    </row>
    <row r="13" spans="1:8" ht="12.75" customHeight="1" x14ac:dyDescent="0.2">
      <c r="A13" s="296" t="s">
        <v>86</v>
      </c>
      <c r="B13" s="297">
        <v>0</v>
      </c>
      <c r="C13" s="297">
        <f>11204248.73+659073.45</f>
        <v>11863322.18</v>
      </c>
      <c r="D13" s="297">
        <v>11835573.640000001</v>
      </c>
      <c r="E13" s="84">
        <f t="shared" si="0"/>
        <v>99.766098066132102</v>
      </c>
      <c r="F13" s="242">
        <v>60001100510</v>
      </c>
      <c r="G13" s="158" t="s">
        <v>296</v>
      </c>
    </row>
    <row r="14" spans="1:8" ht="12.75" customHeight="1" x14ac:dyDescent="0.2">
      <c r="A14" s="296" t="s">
        <v>93</v>
      </c>
      <c r="B14" s="297">
        <v>0</v>
      </c>
      <c r="C14" s="297">
        <f>475247.12+8079201.03</f>
        <v>8554448.1500000004</v>
      </c>
      <c r="D14" s="297">
        <v>7922409.6600000001</v>
      </c>
      <c r="E14" s="84">
        <f t="shared" si="0"/>
        <v>92.611580794957533</v>
      </c>
      <c r="F14" s="242">
        <v>60001100511</v>
      </c>
      <c r="G14" s="158" t="s">
        <v>296</v>
      </c>
    </row>
    <row r="15" spans="1:8" ht="12.75" customHeight="1" x14ac:dyDescent="0.2">
      <c r="A15" s="296" t="s">
        <v>94</v>
      </c>
      <c r="B15" s="297">
        <v>0</v>
      </c>
      <c r="C15" s="297">
        <f>10475249.55+616191.15</f>
        <v>11091440.700000001</v>
      </c>
      <c r="D15" s="297">
        <v>10692061.42</v>
      </c>
      <c r="E15" s="84">
        <f t="shared" si="0"/>
        <v>96.399211871547024</v>
      </c>
      <c r="F15" s="242">
        <v>60001100512</v>
      </c>
      <c r="G15" s="158" t="s">
        <v>296</v>
      </c>
    </row>
    <row r="16" spans="1:8" ht="12.75" customHeight="1" x14ac:dyDescent="0.2">
      <c r="A16" s="296" t="s">
        <v>95</v>
      </c>
      <c r="B16" s="297">
        <v>0</v>
      </c>
      <c r="C16" s="297">
        <f>210627.41+3580665.89</f>
        <v>3791293.3000000003</v>
      </c>
      <c r="D16" s="297">
        <v>3446167.8</v>
      </c>
      <c r="E16" s="84">
        <f t="shared" si="0"/>
        <v>90.896892625004753</v>
      </c>
      <c r="F16" s="242">
        <v>60001100513</v>
      </c>
      <c r="G16" s="158" t="s">
        <v>296</v>
      </c>
    </row>
    <row r="17" spans="1:7" ht="25.5" customHeight="1" x14ac:dyDescent="0.2">
      <c r="A17" s="308" t="s">
        <v>96</v>
      </c>
      <c r="B17" s="297">
        <v>0</v>
      </c>
      <c r="C17" s="297">
        <f>2213820.79+130224.76</f>
        <v>2344045.5499999998</v>
      </c>
      <c r="D17" s="297">
        <v>2104019.91</v>
      </c>
      <c r="E17" s="84">
        <f t="shared" si="0"/>
        <v>89.760197279442806</v>
      </c>
      <c r="F17" s="242">
        <v>60001100545</v>
      </c>
      <c r="G17" s="253" t="s">
        <v>296</v>
      </c>
    </row>
    <row r="18" spans="1:7" ht="12.75" customHeight="1" x14ac:dyDescent="0.2">
      <c r="A18" s="296" t="s">
        <v>97</v>
      </c>
      <c r="B18" s="297">
        <v>0</v>
      </c>
      <c r="C18" s="297">
        <f>639908.18+10878426.98</f>
        <v>11518335.16</v>
      </c>
      <c r="D18" s="297">
        <v>11518334.390000001</v>
      </c>
      <c r="E18" s="84">
        <f t="shared" si="0"/>
        <v>99.999993315006137</v>
      </c>
      <c r="F18" s="242">
        <v>60001100546</v>
      </c>
      <c r="G18" s="158" t="s">
        <v>296</v>
      </c>
    </row>
    <row r="19" spans="1:7" ht="12.75" customHeight="1" x14ac:dyDescent="0.2">
      <c r="A19" s="296" t="s">
        <v>87</v>
      </c>
      <c r="B19" s="297">
        <v>0</v>
      </c>
      <c r="C19" s="297">
        <f>6277332.97+369254.17</f>
        <v>6646587.1399999997</v>
      </c>
      <c r="D19" s="297">
        <v>4819522.04</v>
      </c>
      <c r="E19" s="84">
        <f t="shared" si="0"/>
        <v>72.511229274276843</v>
      </c>
      <c r="F19" s="242">
        <v>60001100547</v>
      </c>
      <c r="G19" s="158" t="s">
        <v>296</v>
      </c>
    </row>
    <row r="20" spans="1:7" ht="29.25" customHeight="1" x14ac:dyDescent="0.2">
      <c r="A20" s="308" t="s">
        <v>98</v>
      </c>
      <c r="B20" s="297">
        <v>0</v>
      </c>
      <c r="C20" s="297">
        <f>38901.59+661327.19</f>
        <v>700228.77999999991</v>
      </c>
      <c r="D20" s="297">
        <v>689192.54</v>
      </c>
      <c r="E20" s="84">
        <f t="shared" si="0"/>
        <v>98.423909397154475</v>
      </c>
      <c r="F20" s="242">
        <v>60001100548</v>
      </c>
      <c r="G20" s="253" t="s">
        <v>296</v>
      </c>
    </row>
    <row r="21" spans="1:7" ht="12.75" customHeight="1" x14ac:dyDescent="0.2">
      <c r="A21" s="296" t="s">
        <v>88</v>
      </c>
      <c r="B21" s="297">
        <v>0</v>
      </c>
      <c r="C21" s="297">
        <f>6069643.45+357037.85</f>
        <v>6426681.2999999998</v>
      </c>
      <c r="D21" s="297">
        <v>5977914.2999999998</v>
      </c>
      <c r="E21" s="84">
        <f t="shared" si="0"/>
        <v>93.017126895649866</v>
      </c>
      <c r="F21" s="242">
        <v>60001100549</v>
      </c>
      <c r="G21" s="158" t="s">
        <v>296</v>
      </c>
    </row>
    <row r="22" spans="1:7" ht="27.75" customHeight="1" x14ac:dyDescent="0.2">
      <c r="A22" s="308" t="s">
        <v>99</v>
      </c>
      <c r="B22" s="297">
        <v>0</v>
      </c>
      <c r="C22" s="297">
        <f>549476.99+9341108.86</f>
        <v>9890585.8499999996</v>
      </c>
      <c r="D22" s="297">
        <v>9824311.8800000008</v>
      </c>
      <c r="E22" s="84">
        <f t="shared" si="0"/>
        <v>99.329928772621713</v>
      </c>
      <c r="F22" s="242">
        <v>60001100553</v>
      </c>
      <c r="G22" s="253" t="s">
        <v>296</v>
      </c>
    </row>
    <row r="23" spans="1:7" ht="29.25" customHeight="1" x14ac:dyDescent="0.2">
      <c r="A23" s="308" t="s">
        <v>100</v>
      </c>
      <c r="B23" s="297">
        <v>0</v>
      </c>
      <c r="C23" s="297">
        <f>1481719.55+87160.15</f>
        <v>1568879.7</v>
      </c>
      <c r="D23" s="297">
        <v>1568879.1</v>
      </c>
      <c r="E23" s="84">
        <f t="shared" si="0"/>
        <v>99.999961756149958</v>
      </c>
      <c r="F23" s="242">
        <v>60001100554</v>
      </c>
      <c r="G23" s="253" t="s">
        <v>296</v>
      </c>
    </row>
    <row r="24" spans="1:7" ht="12.75" customHeight="1" x14ac:dyDescent="0.2">
      <c r="A24" s="296" t="s">
        <v>101</v>
      </c>
      <c r="B24" s="297">
        <v>0</v>
      </c>
      <c r="C24" s="297">
        <f>471023.86+8007405.53</f>
        <v>8478429.3900000006</v>
      </c>
      <c r="D24" s="297">
        <v>8400319.2699999996</v>
      </c>
      <c r="E24" s="84">
        <f t="shared" si="0"/>
        <v>99.078719460798609</v>
      </c>
      <c r="F24" s="242">
        <v>60001100559</v>
      </c>
      <c r="G24" s="158" t="s">
        <v>296</v>
      </c>
    </row>
    <row r="25" spans="1:7" ht="12.75" customHeight="1" x14ac:dyDescent="0.2">
      <c r="A25" s="296" t="s">
        <v>102</v>
      </c>
      <c r="B25" s="297">
        <v>0</v>
      </c>
      <c r="C25" s="297">
        <f>9693732.03+570160.76</f>
        <v>10263892.789999999</v>
      </c>
      <c r="D25" s="297">
        <v>8810925.5800000001</v>
      </c>
      <c r="E25" s="84">
        <f t="shared" si="0"/>
        <v>85.843897245150401</v>
      </c>
      <c r="F25" s="242">
        <v>60001100561</v>
      </c>
      <c r="G25" s="158" t="s">
        <v>296</v>
      </c>
    </row>
    <row r="26" spans="1:7" ht="12.75" customHeight="1" x14ac:dyDescent="0.2">
      <c r="A26" s="296" t="s">
        <v>103</v>
      </c>
      <c r="B26" s="297">
        <v>0</v>
      </c>
      <c r="C26" s="297">
        <f>451062.57+7668040.74</f>
        <v>8119103.3100000005</v>
      </c>
      <c r="D26" s="297">
        <v>7738967.0899999999</v>
      </c>
      <c r="E26" s="84">
        <f t="shared" si="0"/>
        <v>95.318002426058541</v>
      </c>
      <c r="F26" s="242">
        <v>60001100562</v>
      </c>
      <c r="G26" s="158" t="s">
        <v>296</v>
      </c>
    </row>
    <row r="27" spans="1:7" ht="12.75" customHeight="1" x14ac:dyDescent="0.2">
      <c r="A27" s="296" t="s">
        <v>104</v>
      </c>
      <c r="B27" s="297">
        <v>0</v>
      </c>
      <c r="C27" s="297">
        <f>2836064.99+166828.65</f>
        <v>3002893.64</v>
      </c>
      <c r="D27" s="297">
        <v>3002891.36</v>
      </c>
      <c r="E27" s="84">
        <f t="shared" si="0"/>
        <v>99.999924073234908</v>
      </c>
      <c r="F27" s="242">
        <v>60001100563</v>
      </c>
      <c r="G27" s="158" t="s">
        <v>296</v>
      </c>
    </row>
    <row r="28" spans="1:7" ht="12.75" customHeight="1" x14ac:dyDescent="0.2">
      <c r="A28" s="296" t="s">
        <v>105</v>
      </c>
      <c r="B28" s="297">
        <v>0</v>
      </c>
      <c r="C28" s="297">
        <f>315774.47+5368166</f>
        <v>5683940.4699999997</v>
      </c>
      <c r="D28" s="297">
        <v>5217058.0599999996</v>
      </c>
      <c r="E28" s="84">
        <f t="shared" si="0"/>
        <v>91.785937722883986</v>
      </c>
      <c r="F28" s="242">
        <v>60001100694</v>
      </c>
      <c r="G28" s="158" t="s">
        <v>296</v>
      </c>
    </row>
    <row r="29" spans="1:7" ht="12.75" customHeight="1" x14ac:dyDescent="0.2">
      <c r="A29" s="296" t="s">
        <v>170</v>
      </c>
      <c r="B29" s="297">
        <v>0</v>
      </c>
      <c r="C29" s="297">
        <f>3979605.61+234094.86</f>
        <v>4213700.47</v>
      </c>
      <c r="D29" s="297">
        <v>3759907.87</v>
      </c>
      <c r="E29" s="84">
        <f t="shared" si="0"/>
        <v>89.230544429276918</v>
      </c>
      <c r="F29" s="242">
        <v>60001100821</v>
      </c>
      <c r="G29" s="158" t="s">
        <v>296</v>
      </c>
    </row>
    <row r="30" spans="1:7" ht="12.75" customHeight="1" x14ac:dyDescent="0.2">
      <c r="A30" s="296" t="s">
        <v>172</v>
      </c>
      <c r="B30" s="297">
        <v>0</v>
      </c>
      <c r="C30" s="297">
        <f>1699329.85+1551950.1</f>
        <v>3251279.95</v>
      </c>
      <c r="D30" s="297">
        <v>3251279.95</v>
      </c>
      <c r="E30" s="84">
        <f t="shared" si="0"/>
        <v>100</v>
      </c>
      <c r="F30" s="242">
        <v>60001100575</v>
      </c>
      <c r="G30" s="158" t="s">
        <v>297</v>
      </c>
    </row>
    <row r="31" spans="1:7" ht="12.75" customHeight="1" x14ac:dyDescent="0.2">
      <c r="A31" s="296" t="s">
        <v>106</v>
      </c>
      <c r="B31" s="297">
        <v>0</v>
      </c>
      <c r="C31" s="297">
        <v>8887768.3000000007</v>
      </c>
      <c r="D31" s="297">
        <v>0</v>
      </c>
      <c r="E31" s="84">
        <f t="shared" si="0"/>
        <v>0</v>
      </c>
      <c r="F31" s="242">
        <v>60001100792</v>
      </c>
      <c r="G31" s="158">
        <v>38587505</v>
      </c>
    </row>
    <row r="32" spans="1:7" ht="12.75" customHeight="1" x14ac:dyDescent="0.2">
      <c r="A32" s="296" t="s">
        <v>107</v>
      </c>
      <c r="B32" s="297">
        <v>0</v>
      </c>
      <c r="C32" s="297">
        <v>8176575</v>
      </c>
      <c r="D32" s="297">
        <v>0</v>
      </c>
      <c r="E32" s="84">
        <f t="shared" si="0"/>
        <v>0</v>
      </c>
      <c r="F32" s="242">
        <v>60001100793</v>
      </c>
      <c r="G32" s="158">
        <v>38587505</v>
      </c>
    </row>
    <row r="33" spans="1:7" ht="12.75" customHeight="1" x14ac:dyDescent="0.2">
      <c r="A33" s="296" t="s">
        <v>202</v>
      </c>
      <c r="B33" s="297">
        <v>0</v>
      </c>
      <c r="C33" s="297">
        <v>4363985</v>
      </c>
      <c r="D33" s="297">
        <v>4099550</v>
      </c>
      <c r="E33" s="84">
        <f t="shared" si="0"/>
        <v>93.940515377573476</v>
      </c>
      <c r="F33" s="242">
        <v>60001100794</v>
      </c>
      <c r="G33" s="158">
        <v>38587505</v>
      </c>
    </row>
    <row r="34" spans="1:7" ht="12.75" customHeight="1" thickBot="1" x14ac:dyDescent="0.25">
      <c r="A34" s="306" t="s">
        <v>201</v>
      </c>
      <c r="B34" s="329">
        <v>0</v>
      </c>
      <c r="C34" s="329">
        <v>6073917.71</v>
      </c>
      <c r="D34" s="329">
        <v>0</v>
      </c>
      <c r="E34" s="300">
        <f t="shared" si="0"/>
        <v>0</v>
      </c>
      <c r="F34" s="242">
        <v>60001100795</v>
      </c>
      <c r="G34" s="158">
        <v>38587505</v>
      </c>
    </row>
    <row r="35" spans="1:7" s="129" customFormat="1" ht="16.5" thickTop="1" x14ac:dyDescent="0.25">
      <c r="A35" s="127"/>
      <c r="B35" s="127"/>
      <c r="C35" s="127"/>
      <c r="D35" s="127"/>
      <c r="E35" s="124"/>
      <c r="F35" s="128"/>
      <c r="G35" s="156"/>
    </row>
    <row r="36" spans="1:7" s="34" customFormat="1" ht="18.75" thickBot="1" x14ac:dyDescent="0.3">
      <c r="A36" s="100" t="s">
        <v>27</v>
      </c>
      <c r="B36" s="101">
        <f>SUM(B7)</f>
        <v>0</v>
      </c>
      <c r="C36" s="101">
        <f>SUM(C7)</f>
        <v>191723664.14999998</v>
      </c>
      <c r="D36" s="101">
        <f>SUM(D7)</f>
        <v>157558764.40000001</v>
      </c>
      <c r="E36" s="102">
        <f>D36/C36*100</f>
        <v>82.18013415220868</v>
      </c>
      <c r="F36" s="64"/>
      <c r="G36" s="157"/>
    </row>
    <row r="37" spans="1:7" ht="13.5" thickTop="1" x14ac:dyDescent="0.2"/>
    <row r="40" spans="1:7" s="27" customFormat="1" ht="18" x14ac:dyDescent="0.25">
      <c r="A40" s="71" t="s">
        <v>29</v>
      </c>
      <c r="E40" s="72"/>
      <c r="G40" s="155"/>
    </row>
    <row r="41" spans="1:7" s="27" customFormat="1" ht="15" customHeight="1" thickBot="1" x14ac:dyDescent="0.3">
      <c r="A41" s="74" t="s">
        <v>200</v>
      </c>
      <c r="E41" s="75" t="s">
        <v>18</v>
      </c>
      <c r="G41" s="155"/>
    </row>
    <row r="42" spans="1:7" s="27" customFormat="1" ht="27" customHeight="1" thickTop="1" thickBot="1" x14ac:dyDescent="0.25">
      <c r="A42" s="76" t="s">
        <v>5</v>
      </c>
      <c r="B42" s="77" t="s">
        <v>0</v>
      </c>
      <c r="C42" s="78" t="s">
        <v>1</v>
      </c>
      <c r="D42" s="79" t="s">
        <v>4</v>
      </c>
      <c r="E42" s="80" t="s">
        <v>6</v>
      </c>
      <c r="G42" s="155"/>
    </row>
    <row r="43" spans="1:7" ht="15.75" thickTop="1" x14ac:dyDescent="0.2">
      <c r="A43" s="81" t="s">
        <v>9</v>
      </c>
      <c r="B43" s="82">
        <f>SUM(B44:B56)</f>
        <v>0</v>
      </c>
      <c r="C43" s="82">
        <f>SUM(C44:C56)</f>
        <v>158420450.67000002</v>
      </c>
      <c r="D43" s="82">
        <f>SUM(D44:D56)</f>
        <v>115323819.2</v>
      </c>
      <c r="E43" s="131">
        <f>D43/C43*100</f>
        <v>72.796042879733335</v>
      </c>
      <c r="F43" s="132" t="s">
        <v>2</v>
      </c>
      <c r="G43" s="156" t="s">
        <v>59</v>
      </c>
    </row>
    <row r="44" spans="1:7" ht="29.25" customHeight="1" x14ac:dyDescent="0.2">
      <c r="A44" s="308" t="s">
        <v>114</v>
      </c>
      <c r="B44" s="297">
        <v>0</v>
      </c>
      <c r="C44" s="297">
        <f>155984.6+2651738.4</f>
        <v>2807723</v>
      </c>
      <c r="D44" s="370">
        <v>2551621.14</v>
      </c>
      <c r="E44" s="345">
        <f t="shared" ref="E44:E56" si="1">D44/C44*100</f>
        <v>90.878663600362287</v>
      </c>
      <c r="F44" s="251">
        <v>60002100470</v>
      </c>
      <c r="G44" s="253" t="s">
        <v>296</v>
      </c>
    </row>
    <row r="45" spans="1:7" ht="12.75" customHeight="1" x14ac:dyDescent="0.2">
      <c r="A45" s="308" t="s">
        <v>115</v>
      </c>
      <c r="B45" s="297">
        <v>0</v>
      </c>
      <c r="C45" s="297">
        <f>9624381.32+566140.32</f>
        <v>10190521.640000001</v>
      </c>
      <c r="D45" s="370">
        <v>9473644.8000000007</v>
      </c>
      <c r="E45" s="345">
        <f t="shared" si="1"/>
        <v>92.965258645974487</v>
      </c>
      <c r="F45" s="251">
        <v>60002100494</v>
      </c>
      <c r="G45" s="253" t="s">
        <v>296</v>
      </c>
    </row>
    <row r="46" spans="1:7" ht="12.75" customHeight="1" x14ac:dyDescent="0.2">
      <c r="A46" s="308" t="s">
        <v>116</v>
      </c>
      <c r="B46" s="297">
        <v>0</v>
      </c>
      <c r="C46" s="297">
        <f>161210+2740570</f>
        <v>2901780</v>
      </c>
      <c r="D46" s="370">
        <v>2672326.7799999998</v>
      </c>
      <c r="E46" s="345">
        <f t="shared" si="1"/>
        <v>92.092673462495426</v>
      </c>
      <c r="F46" s="251">
        <v>60002100497</v>
      </c>
      <c r="G46" s="253" t="s">
        <v>296</v>
      </c>
    </row>
    <row r="47" spans="1:7" ht="27" customHeight="1" x14ac:dyDescent="0.2">
      <c r="A47" s="308" t="s">
        <v>117</v>
      </c>
      <c r="B47" s="297">
        <v>0</v>
      </c>
      <c r="C47" s="297">
        <f>5929886.45+348816.85</f>
        <v>6278703.2999999998</v>
      </c>
      <c r="D47" s="370">
        <v>4739063.9000000004</v>
      </c>
      <c r="E47" s="345">
        <f t="shared" si="1"/>
        <v>75.478385799819534</v>
      </c>
      <c r="F47" s="251">
        <v>60002100550</v>
      </c>
      <c r="G47" s="253" t="s">
        <v>296</v>
      </c>
    </row>
    <row r="48" spans="1:7" ht="28.5" customHeight="1" x14ac:dyDescent="0.2">
      <c r="A48" s="308" t="s">
        <v>123</v>
      </c>
      <c r="B48" s="297">
        <v>0</v>
      </c>
      <c r="C48" s="297">
        <f>353052.32+6001894.01</f>
        <v>6354946.3300000001</v>
      </c>
      <c r="D48" s="370">
        <v>6121507.2699999996</v>
      </c>
      <c r="E48" s="345">
        <f t="shared" si="1"/>
        <v>96.326655680819883</v>
      </c>
      <c r="F48" s="251">
        <v>60002100664</v>
      </c>
      <c r="G48" s="253" t="s">
        <v>296</v>
      </c>
    </row>
    <row r="49" spans="1:7" ht="12.75" customHeight="1" x14ac:dyDescent="0.2">
      <c r="A49" s="308" t="s">
        <v>124</v>
      </c>
      <c r="B49" s="297">
        <v>0</v>
      </c>
      <c r="C49" s="297">
        <f>8129604+478212</f>
        <v>8607816</v>
      </c>
      <c r="D49" s="370">
        <v>8316401.8799999999</v>
      </c>
      <c r="E49" s="345">
        <f t="shared" si="1"/>
        <v>96.614540552446755</v>
      </c>
      <c r="F49" s="251">
        <v>60002100665</v>
      </c>
      <c r="G49" s="253" t="s">
        <v>296</v>
      </c>
    </row>
    <row r="50" spans="1:7" ht="31.5" customHeight="1" x14ac:dyDescent="0.2">
      <c r="A50" s="308" t="s">
        <v>125</v>
      </c>
      <c r="B50" s="297">
        <v>0</v>
      </c>
      <c r="C50" s="297">
        <f>166577.8+2831818.6</f>
        <v>2998396.4</v>
      </c>
      <c r="D50" s="370">
        <v>2768034.32</v>
      </c>
      <c r="E50" s="345">
        <f t="shared" si="1"/>
        <v>92.317157264463091</v>
      </c>
      <c r="F50" s="251">
        <v>60002100666</v>
      </c>
      <c r="G50" s="253" t="s">
        <v>296</v>
      </c>
    </row>
    <row r="51" spans="1:7" ht="12.75" customHeight="1" x14ac:dyDescent="0.2">
      <c r="A51" s="308" t="s">
        <v>147</v>
      </c>
      <c r="B51" s="297">
        <v>0</v>
      </c>
      <c r="C51" s="297">
        <v>14582042.51</v>
      </c>
      <c r="D51" s="370">
        <v>14582042.51</v>
      </c>
      <c r="E51" s="345">
        <f t="shared" si="1"/>
        <v>100</v>
      </c>
      <c r="F51" s="251">
        <v>60002100317</v>
      </c>
      <c r="G51" s="158">
        <v>38587505</v>
      </c>
    </row>
    <row r="52" spans="1:7" ht="27" customHeight="1" x14ac:dyDescent="0.2">
      <c r="A52" s="308" t="s">
        <v>412</v>
      </c>
      <c r="B52" s="297">
        <v>0</v>
      </c>
      <c r="C52" s="297">
        <v>8400023</v>
      </c>
      <c r="D52" s="370">
        <v>4712165.09</v>
      </c>
      <c r="E52" s="345">
        <f t="shared" si="1"/>
        <v>56.097049853315873</v>
      </c>
      <c r="F52" s="251">
        <v>60002100326</v>
      </c>
      <c r="G52" s="253">
        <v>38587505</v>
      </c>
    </row>
    <row r="53" spans="1:7" ht="12.75" customHeight="1" x14ac:dyDescent="0.2">
      <c r="A53" s="308" t="s">
        <v>389</v>
      </c>
      <c r="B53" s="297">
        <v>0</v>
      </c>
      <c r="C53" s="297">
        <v>12277663</v>
      </c>
      <c r="D53" s="370">
        <v>4140218.82</v>
      </c>
      <c r="E53" s="345">
        <f t="shared" si="1"/>
        <v>33.721554501047954</v>
      </c>
      <c r="F53" s="251">
        <v>60002100407</v>
      </c>
      <c r="G53" s="158">
        <v>38587505</v>
      </c>
    </row>
    <row r="54" spans="1:7" ht="12.75" customHeight="1" x14ac:dyDescent="0.2">
      <c r="A54" s="308" t="s">
        <v>277</v>
      </c>
      <c r="B54" s="297">
        <v>0</v>
      </c>
      <c r="C54" s="297">
        <v>17303000</v>
      </c>
      <c r="D54" s="370">
        <v>4641843.2000000002</v>
      </c>
      <c r="E54" s="345">
        <f t="shared" si="1"/>
        <v>26.826811535571863</v>
      </c>
      <c r="F54" s="251">
        <v>60002100416</v>
      </c>
      <c r="G54" s="158">
        <v>38587505</v>
      </c>
    </row>
    <row r="55" spans="1:7" ht="12.75" customHeight="1" x14ac:dyDescent="0.2">
      <c r="A55" s="296" t="s">
        <v>158</v>
      </c>
      <c r="B55" s="297">
        <v>0</v>
      </c>
      <c r="C55" s="297">
        <f>2452822+48265013.49</f>
        <v>50717835.490000002</v>
      </c>
      <c r="D55" s="370">
        <v>50604949.490000002</v>
      </c>
      <c r="E55" s="345">
        <f t="shared" si="1"/>
        <v>99.777423466696931</v>
      </c>
      <c r="F55" s="251">
        <v>60002100441</v>
      </c>
      <c r="G55" s="158" t="s">
        <v>299</v>
      </c>
    </row>
    <row r="56" spans="1:7" ht="29.25" customHeight="1" thickBot="1" x14ac:dyDescent="0.25">
      <c r="A56" s="298" t="s">
        <v>281</v>
      </c>
      <c r="B56" s="299">
        <v>0</v>
      </c>
      <c r="C56" s="299">
        <v>15000000</v>
      </c>
      <c r="D56" s="299">
        <v>0</v>
      </c>
      <c r="E56" s="346">
        <f t="shared" si="1"/>
        <v>0</v>
      </c>
      <c r="F56" s="243">
        <v>60002100790</v>
      </c>
      <c r="G56" s="253">
        <v>38587505</v>
      </c>
    </row>
    <row r="57" spans="1:7" s="67" customFormat="1" ht="13.5" thickTop="1" x14ac:dyDescent="0.2">
      <c r="A57" s="239"/>
      <c r="B57" s="240"/>
      <c r="C57" s="240"/>
      <c r="D57" s="240"/>
      <c r="E57" s="90"/>
      <c r="F57" s="241"/>
      <c r="G57" s="156"/>
    </row>
    <row r="58" spans="1:7" s="34" customFormat="1" ht="18.75" thickBot="1" x14ac:dyDescent="0.3">
      <c r="A58" s="100" t="s">
        <v>28</v>
      </c>
      <c r="B58" s="101">
        <f>B43</f>
        <v>0</v>
      </c>
      <c r="C58" s="101">
        <f>C43</f>
        <v>158420450.67000002</v>
      </c>
      <c r="D58" s="101">
        <f>D43</f>
        <v>115323819.2</v>
      </c>
      <c r="E58" s="102">
        <f>D58/C58*100</f>
        <v>72.796042879733335</v>
      </c>
      <c r="F58" s="64"/>
      <c r="G58" s="157"/>
    </row>
    <row r="59" spans="1:7" s="34" customFormat="1" ht="13.5" customHeight="1" thickTop="1" x14ac:dyDescent="0.25">
      <c r="A59" s="380"/>
      <c r="B59" s="381"/>
      <c r="C59" s="381"/>
      <c r="D59" s="381"/>
      <c r="E59" s="382"/>
      <c r="F59" s="64"/>
      <c r="G59" s="157"/>
    </row>
    <row r="60" spans="1:7" s="34" customFormat="1" ht="13.5" customHeight="1" x14ac:dyDescent="0.25">
      <c r="A60" s="380"/>
      <c r="B60" s="381"/>
      <c r="C60" s="381"/>
      <c r="D60" s="381"/>
      <c r="E60" s="382"/>
      <c r="F60" s="64"/>
      <c r="G60" s="157"/>
    </row>
    <row r="61" spans="1:7" s="34" customFormat="1" ht="13.5" customHeight="1" x14ac:dyDescent="0.25">
      <c r="A61" s="380"/>
      <c r="B61" s="381"/>
      <c r="C61" s="381"/>
      <c r="D61" s="381"/>
      <c r="E61" s="382"/>
      <c r="F61" s="64"/>
      <c r="G61" s="157"/>
    </row>
    <row r="62" spans="1:7" s="34" customFormat="1" ht="18" x14ac:dyDescent="0.25">
      <c r="A62" s="71" t="s">
        <v>47</v>
      </c>
      <c r="B62" s="27"/>
      <c r="C62" s="27"/>
      <c r="D62" s="27"/>
      <c r="E62" s="72"/>
      <c r="F62" s="64"/>
      <c r="G62" s="157"/>
    </row>
    <row r="63" spans="1:7" s="34" customFormat="1" ht="18.75" thickBot="1" x14ac:dyDescent="0.3">
      <c r="A63" s="74" t="s">
        <v>300</v>
      </c>
      <c r="B63" s="27"/>
      <c r="C63" s="27"/>
      <c r="D63" s="27"/>
      <c r="E63" s="383" t="s">
        <v>18</v>
      </c>
      <c r="F63" s="64"/>
      <c r="G63" s="157"/>
    </row>
    <row r="64" spans="1:7" s="34" customFormat="1" ht="25.5" thickTop="1" thickBot="1" x14ac:dyDescent="0.3">
      <c r="A64" s="76" t="s">
        <v>5</v>
      </c>
      <c r="B64" s="77" t="s">
        <v>0</v>
      </c>
      <c r="C64" s="78" t="s">
        <v>1</v>
      </c>
      <c r="D64" s="79" t="s">
        <v>4</v>
      </c>
      <c r="E64" s="80" t="s">
        <v>6</v>
      </c>
      <c r="F64" s="64"/>
      <c r="G64" s="157"/>
    </row>
    <row r="65" spans="1:7" s="34" customFormat="1" ht="18.75" thickTop="1" x14ac:dyDescent="0.25">
      <c r="A65" s="81" t="s">
        <v>11</v>
      </c>
      <c r="B65" s="82">
        <f>SUM(B66:B74)</f>
        <v>0</v>
      </c>
      <c r="C65" s="82">
        <f>SUM(C66:C74)</f>
        <v>205028498.94</v>
      </c>
      <c r="D65" s="82">
        <f>SUM(D66:D74)</f>
        <v>89152120.660000011</v>
      </c>
      <c r="E65" s="131">
        <f>D65/C65*100</f>
        <v>43.482794402201463</v>
      </c>
      <c r="F65" s="64"/>
      <c r="G65" s="157"/>
    </row>
    <row r="66" spans="1:7" s="34" customFormat="1" ht="12.75" customHeight="1" x14ac:dyDescent="0.25">
      <c r="A66" s="371" t="s">
        <v>118</v>
      </c>
      <c r="B66" s="301">
        <v>0</v>
      </c>
      <c r="C66" s="240">
        <v>23069113.260000002</v>
      </c>
      <c r="D66" s="301">
        <v>13753901.6</v>
      </c>
      <c r="E66" s="84">
        <f>D66/C66*100</f>
        <v>59.620417330249822</v>
      </c>
      <c r="F66" s="243">
        <v>60004100106</v>
      </c>
      <c r="G66" s="158">
        <v>38587505</v>
      </c>
    </row>
    <row r="67" spans="1:7" s="34" customFormat="1" ht="12.75" customHeight="1" x14ac:dyDescent="0.25">
      <c r="A67" s="371" t="s">
        <v>162</v>
      </c>
      <c r="B67" s="301">
        <v>0</v>
      </c>
      <c r="C67" s="240">
        <v>10691122.029999999</v>
      </c>
      <c r="D67" s="301">
        <v>6305963.3499999996</v>
      </c>
      <c r="E67" s="84">
        <f t="shared" ref="E67:E73" si="2">D67/C67*100</f>
        <v>58.983176249462375</v>
      </c>
      <c r="F67" s="243">
        <v>60004100110</v>
      </c>
      <c r="G67" s="158">
        <v>38587505</v>
      </c>
    </row>
    <row r="68" spans="1:7" s="34" customFormat="1" ht="12.75" customHeight="1" x14ac:dyDescent="0.25">
      <c r="A68" s="371" t="s">
        <v>156</v>
      </c>
      <c r="B68" s="301">
        <v>0</v>
      </c>
      <c r="C68" s="240">
        <v>11343863.07</v>
      </c>
      <c r="D68" s="301">
        <v>11343863.07</v>
      </c>
      <c r="E68" s="84">
        <f t="shared" si="2"/>
        <v>100</v>
      </c>
      <c r="F68" s="243">
        <v>60004100534</v>
      </c>
      <c r="G68" s="158">
        <v>38587505</v>
      </c>
    </row>
    <row r="69" spans="1:7" s="34" customFormat="1" ht="12.75" customHeight="1" x14ac:dyDescent="0.25">
      <c r="A69" s="371" t="s">
        <v>152</v>
      </c>
      <c r="B69" s="301">
        <v>0</v>
      </c>
      <c r="C69" s="240">
        <v>57890863.670000002</v>
      </c>
      <c r="D69" s="301">
        <v>9898611.7899999991</v>
      </c>
      <c r="E69" s="84">
        <f t="shared" si="2"/>
        <v>17.09874609303786</v>
      </c>
      <c r="F69" s="243">
        <v>60004100535</v>
      </c>
      <c r="G69" s="158">
        <v>38587505</v>
      </c>
    </row>
    <row r="70" spans="1:7" s="34" customFormat="1" ht="12.75" customHeight="1" x14ac:dyDescent="0.25">
      <c r="A70" s="371" t="s">
        <v>178</v>
      </c>
      <c r="B70" s="301">
        <v>0</v>
      </c>
      <c r="C70" s="240">
        <v>26668430.870000001</v>
      </c>
      <c r="D70" s="301">
        <v>15749710.6</v>
      </c>
      <c r="E70" s="84">
        <f t="shared" si="2"/>
        <v>59.057507645555752</v>
      </c>
      <c r="F70" s="243">
        <v>60004100676</v>
      </c>
      <c r="G70" s="158">
        <v>38587505</v>
      </c>
    </row>
    <row r="71" spans="1:7" s="34" customFormat="1" ht="12.75" customHeight="1" x14ac:dyDescent="0.25">
      <c r="A71" s="371" t="s">
        <v>180</v>
      </c>
      <c r="B71" s="301">
        <v>0</v>
      </c>
      <c r="C71" s="240">
        <v>35913526.93</v>
      </c>
      <c r="D71" s="301">
        <v>8324242.8700000001</v>
      </c>
      <c r="E71" s="84">
        <f t="shared" si="2"/>
        <v>23.178572481129468</v>
      </c>
      <c r="F71" s="243">
        <v>60004100678</v>
      </c>
      <c r="G71" s="158">
        <v>38587505</v>
      </c>
    </row>
    <row r="72" spans="1:7" s="34" customFormat="1" ht="12.75" customHeight="1" x14ac:dyDescent="0.25">
      <c r="A72" s="371" t="s">
        <v>154</v>
      </c>
      <c r="B72" s="301">
        <v>0</v>
      </c>
      <c r="C72" s="240">
        <v>19862457.690000001</v>
      </c>
      <c r="D72" s="301">
        <v>10286319.029999999</v>
      </c>
      <c r="E72" s="84">
        <f t="shared" si="2"/>
        <v>51.787745456992326</v>
      </c>
      <c r="F72" s="243">
        <v>60004100679</v>
      </c>
      <c r="G72" s="158">
        <v>38587505</v>
      </c>
    </row>
    <row r="73" spans="1:7" s="34" customFormat="1" ht="30" customHeight="1" x14ac:dyDescent="0.25">
      <c r="A73" s="371" t="s">
        <v>413</v>
      </c>
      <c r="B73" s="301">
        <v>0</v>
      </c>
      <c r="C73" s="240">
        <v>9537054</v>
      </c>
      <c r="D73" s="301">
        <v>3437440.93</v>
      </c>
      <c r="E73" s="84">
        <f t="shared" si="2"/>
        <v>36.043005838071174</v>
      </c>
      <c r="F73" s="243">
        <v>60004100798</v>
      </c>
      <c r="G73" s="253">
        <v>38587505</v>
      </c>
    </row>
    <row r="74" spans="1:7" s="34" customFormat="1" ht="18" customHeight="1" thickBot="1" x14ac:dyDescent="0.3">
      <c r="A74" s="298" t="s">
        <v>181</v>
      </c>
      <c r="B74" s="299">
        <v>0</v>
      </c>
      <c r="C74" s="302">
        <v>10052067.42</v>
      </c>
      <c r="D74" s="299">
        <v>10052067.42</v>
      </c>
      <c r="E74" s="300">
        <f>D74/C74*100</f>
        <v>100</v>
      </c>
      <c r="F74" s="243">
        <v>60004100831</v>
      </c>
      <c r="G74" s="158">
        <v>38587505</v>
      </c>
    </row>
    <row r="75" spans="1:7" s="34" customFormat="1" ht="18.75" thickTop="1" x14ac:dyDescent="0.25">
      <c r="A75" s="71"/>
      <c r="B75" s="27"/>
      <c r="C75" s="27"/>
      <c r="D75" s="27"/>
      <c r="E75" s="72"/>
      <c r="F75" s="64"/>
      <c r="G75" s="157"/>
    </row>
    <row r="76" spans="1:7" s="34" customFormat="1" ht="18.75" thickBot="1" x14ac:dyDescent="0.3">
      <c r="A76" s="74" t="s">
        <v>301</v>
      </c>
      <c r="B76" s="27"/>
      <c r="C76" s="27"/>
      <c r="D76" s="27"/>
      <c r="E76" s="383" t="s">
        <v>18</v>
      </c>
      <c r="F76" s="64"/>
      <c r="G76" s="157"/>
    </row>
    <row r="77" spans="1:7" s="34" customFormat="1" ht="25.5" thickTop="1" thickBot="1" x14ac:dyDescent="0.3">
      <c r="A77" s="76" t="s">
        <v>5</v>
      </c>
      <c r="B77" s="77" t="s">
        <v>0</v>
      </c>
      <c r="C77" s="78" t="s">
        <v>1</v>
      </c>
      <c r="D77" s="79" t="s">
        <v>4</v>
      </c>
      <c r="E77" s="80" t="s">
        <v>6</v>
      </c>
      <c r="F77" s="64"/>
      <c r="G77" s="157"/>
    </row>
    <row r="78" spans="1:7" s="34" customFormat="1" ht="18.75" thickTop="1" x14ac:dyDescent="0.25">
      <c r="A78" s="81" t="s">
        <v>11</v>
      </c>
      <c r="B78" s="82">
        <f>SUM(B79:B79)</f>
        <v>0</v>
      </c>
      <c r="C78" s="130">
        <f>SUM(C79:C79)</f>
        <v>180900</v>
      </c>
      <c r="D78" s="82">
        <f>SUM(D79:D79)</f>
        <v>180900</v>
      </c>
      <c r="E78" s="131">
        <f>D78/C78*100</f>
        <v>100</v>
      </c>
      <c r="F78" s="132" t="s">
        <v>2</v>
      </c>
      <c r="G78" s="156" t="s">
        <v>59</v>
      </c>
    </row>
    <row r="79" spans="1:7" s="34" customFormat="1" ht="12.75" customHeight="1" thickBot="1" x14ac:dyDescent="0.3">
      <c r="A79" s="298" t="s">
        <v>298</v>
      </c>
      <c r="B79" s="299">
        <v>0</v>
      </c>
      <c r="C79" s="302">
        <v>180900</v>
      </c>
      <c r="D79" s="299">
        <v>180900</v>
      </c>
      <c r="E79" s="300">
        <f>D79/C79*100</f>
        <v>100</v>
      </c>
      <c r="F79" s="385">
        <v>60004000000</v>
      </c>
      <c r="G79" s="156">
        <v>98861</v>
      </c>
    </row>
    <row r="80" spans="1:7" s="34" customFormat="1" ht="18.75" thickTop="1" x14ac:dyDescent="0.25">
      <c r="A80" s="127"/>
      <c r="B80" s="127"/>
      <c r="C80" s="127"/>
      <c r="D80" s="127"/>
      <c r="E80" s="384"/>
      <c r="F80" s="64"/>
      <c r="G80" s="157"/>
    </row>
    <row r="81" spans="1:7" s="34" customFormat="1" ht="18.75" thickBot="1" x14ac:dyDescent="0.3">
      <c r="A81" s="100" t="s">
        <v>32</v>
      </c>
      <c r="B81" s="101">
        <f>SUM(B78,B65)</f>
        <v>0</v>
      </c>
      <c r="C81" s="101">
        <f>SUM(C78,C65)</f>
        <v>205209398.94</v>
      </c>
      <c r="D81" s="101">
        <f>SUM(D78,D65)</f>
        <v>89333020.660000011</v>
      </c>
      <c r="E81" s="102">
        <f>D81/C81*100</f>
        <v>43.532616498779177</v>
      </c>
      <c r="F81" s="64"/>
      <c r="G81" s="157"/>
    </row>
    <row r="82" spans="1:7" s="67" customFormat="1" ht="13.5" thickTop="1" x14ac:dyDescent="0.2">
      <c r="A82" s="239"/>
      <c r="B82" s="240"/>
      <c r="C82" s="240"/>
      <c r="D82" s="240"/>
      <c r="E82" s="90"/>
      <c r="F82" s="241"/>
      <c r="G82" s="156"/>
    </row>
    <row r="83" spans="1:7" s="67" customFormat="1" x14ac:dyDescent="0.2">
      <c r="A83" s="239"/>
      <c r="B83" s="240"/>
      <c r="C83" s="240"/>
      <c r="D83" s="240"/>
      <c r="E83" s="90"/>
      <c r="F83" s="241"/>
      <c r="G83" s="156"/>
    </row>
    <row r="84" spans="1:7" ht="14.25" x14ac:dyDescent="0.2">
      <c r="A84" s="114" t="s">
        <v>12</v>
      </c>
      <c r="B84" s="114"/>
      <c r="C84" s="114"/>
      <c r="D84" s="114"/>
      <c r="E84" s="115"/>
    </row>
    <row r="85" spans="1:7" ht="14.25" x14ac:dyDescent="0.2">
      <c r="A85" s="116" t="s">
        <v>16</v>
      </c>
      <c r="B85" s="117">
        <f>B36</f>
        <v>0</v>
      </c>
      <c r="C85" s="117">
        <f>C36</f>
        <v>191723664.14999998</v>
      </c>
      <c r="D85" s="117">
        <f>D36</f>
        <v>157558764.40000001</v>
      </c>
      <c r="E85" s="118">
        <f>D85/C85*100</f>
        <v>82.18013415220868</v>
      </c>
    </row>
    <row r="86" spans="1:7" ht="14.25" x14ac:dyDescent="0.2">
      <c r="A86" s="116" t="s">
        <v>15</v>
      </c>
      <c r="B86" s="117">
        <f>B58</f>
        <v>0</v>
      </c>
      <c r="C86" s="117">
        <f>C58</f>
        <v>158420450.67000002</v>
      </c>
      <c r="D86" s="117">
        <f>D58</f>
        <v>115323819.2</v>
      </c>
      <c r="E86" s="118">
        <f>D86/C86*100</f>
        <v>72.796042879733335</v>
      </c>
    </row>
    <row r="87" spans="1:7" ht="14.25" x14ac:dyDescent="0.2">
      <c r="A87" s="116" t="s">
        <v>13</v>
      </c>
      <c r="B87" s="117">
        <f>B81</f>
        <v>0</v>
      </c>
      <c r="C87" s="117">
        <f t="shared" ref="C87:D87" si="3">C81</f>
        <v>205209398.94</v>
      </c>
      <c r="D87" s="117">
        <f t="shared" si="3"/>
        <v>89333020.660000011</v>
      </c>
      <c r="E87" s="118">
        <f>D87/C87*100</f>
        <v>43.532616498779177</v>
      </c>
    </row>
    <row r="88" spans="1:7" ht="15.75" thickBot="1" x14ac:dyDescent="0.25">
      <c r="A88" s="119" t="s">
        <v>3</v>
      </c>
      <c r="B88" s="120">
        <f>SUM(B85:B87)</f>
        <v>0</v>
      </c>
      <c r="C88" s="120">
        <f>SUM(C85:C87)</f>
        <v>555353513.75999999</v>
      </c>
      <c r="D88" s="120">
        <f>SUM(D85:D87)</f>
        <v>362215604.26000005</v>
      </c>
      <c r="E88" s="121">
        <f>D88/C88*100</f>
        <v>65.2225285850148</v>
      </c>
    </row>
    <row r="89" spans="1:7" ht="13.5" thickTop="1" x14ac:dyDescent="0.2"/>
  </sheetData>
  <pageMargins left="0.78740157480314965" right="0.78740157480314965" top="0.98425196850393704" bottom="0.98425196850393704" header="0.51181102362204722" footer="0.51181102362204722"/>
  <pageSetup paperSize="9" scale="65" firstPageNumber="186" orientation="portrait" r:id="rId1"/>
  <headerFooter alignWithMargins="0">
    <oddFooter>&amp;L&amp;"Arial,Kurzíva"Zastupitelstvo Olomouckého kraje 26.6.2015
4. - Rozpočet Olomouckého kraje 2014 - závěrečný účet 
Příloha č. 8: Přehled financování investičních akcí v roce 2014&amp;R&amp;"Arial,Kurzíva"Strana &amp;P (celkem 484)</oddFooter>
  </headerFooter>
  <rowBreaks count="1" manualBreakCount="1">
    <brk id="61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</vt:i4>
      </vt:variant>
    </vt:vector>
  </HeadingPairs>
  <TitlesOfParts>
    <vt:vector size="10" baseType="lpstr">
      <vt:lpstr>rekapitulace</vt:lpstr>
      <vt:lpstr>8a. EIB - Evropské programy</vt:lpstr>
      <vt:lpstr>8b. KB 2014</vt:lpstr>
      <vt:lpstr>8c. OK 2014</vt:lpstr>
      <vt:lpstr>d) dotace</vt:lpstr>
      <vt:lpstr>'8a. EIB - Evropské programy'!Oblast_tisku</vt:lpstr>
      <vt:lpstr>'8b. KB 2014'!Oblast_tisku</vt:lpstr>
      <vt:lpstr>'8c. OK 2014'!Oblast_tisku</vt:lpstr>
      <vt:lpstr>'d) dotace'!Oblast_tisku</vt:lpstr>
      <vt:lpstr>rekapitulace!Oblast_tisku</vt:lpstr>
    </vt:vector>
  </TitlesOfParts>
  <Company>KÚOK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benesova</dc:creator>
  <cp:lastModifiedBy>Foret Oldřich</cp:lastModifiedBy>
  <cp:lastPrinted>2015-06-01T15:09:42Z</cp:lastPrinted>
  <dcterms:created xsi:type="dcterms:W3CDTF">2010-08-09T11:30:13Z</dcterms:created>
  <dcterms:modified xsi:type="dcterms:W3CDTF">2015-06-08T09:18:18Z</dcterms:modified>
</cp:coreProperties>
</file>